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activeTab="0"/>
  </bookViews>
  <sheets>
    <sheet name="Start Here" sheetId="1" r:id="rId1"/>
    <sheet name="Madcow Program" sheetId="2" r:id="rId2"/>
    <sheet name="Predicted 1RMs" sheetId="3" r:id="rId3"/>
  </sheets>
  <definedNames>
    <definedName name="BBR">'Start Here'!$I$11</definedName>
    <definedName name="BBRINT">'Start Here'!$E$11</definedName>
    <definedName name="BBRMAX">'Start Here'!$G$11</definedName>
    <definedName name="BBRTON">'Start Here'!$F$11</definedName>
    <definedName name="BP">'Start Here'!$I$10</definedName>
    <definedName name="BPINT">'Start Here'!$E$10</definedName>
    <definedName name="BPMAX">'Start Here'!$G$10</definedName>
    <definedName name="BPTON">'Start Here'!$F$10</definedName>
    <definedName name="DL">'Start Here'!$I$13</definedName>
    <definedName name="DLINT">'Start Here'!$E$13</definedName>
    <definedName name="DLMAX">'Start Here'!$G$13</definedName>
    <definedName name="DLTON">'Start Here'!$F$13</definedName>
    <definedName name="OHP">'Start Here'!$I$12</definedName>
    <definedName name="OHPINT">'Start Here'!$E$12</definedName>
    <definedName name="OHPMAX">'Start Here'!$G$12</definedName>
    <definedName name="OHPTON">'Start Here'!$F$12</definedName>
    <definedName name="PLATE">'Start Here'!$D$15</definedName>
    <definedName name="PRWEEK">'Start Here'!$D$16</definedName>
    <definedName name="SQ">'Start Here'!$I$9</definedName>
    <definedName name="SQINT">'Start Here'!$E$9</definedName>
    <definedName name="SQMAX">'Start Here'!$G$9</definedName>
    <definedName name="SQTON">'Start Here'!$F$9</definedName>
  </definedNames>
  <calcPr fullCalcOnLoad="1"/>
</workbook>
</file>

<file path=xl/sharedStrings.xml><?xml version="1.0" encoding="utf-8"?>
<sst xmlns="http://schemas.openxmlformats.org/spreadsheetml/2006/main" count="126" uniqueCount="44">
  <si>
    <t>Madcow 5x5 Training Program</t>
  </si>
  <si>
    <t>Exercise</t>
  </si>
  <si>
    <t>Test Weight</t>
  </si>
  <si>
    <t>Reps</t>
  </si>
  <si>
    <t>Set Interval</t>
  </si>
  <si>
    <t>Tonnage Cutoff</t>
  </si>
  <si>
    <t>1RM</t>
  </si>
  <si>
    <t>5RM</t>
  </si>
  <si>
    <t>Starting Weight</t>
  </si>
  <si>
    <t>Squat</t>
  </si>
  <si>
    <t>Bench</t>
  </si>
  <si>
    <t>Row</t>
  </si>
  <si>
    <t>Press</t>
  </si>
  <si>
    <t>Deadlift</t>
  </si>
  <si>
    <t>Smallest Plates Available</t>
  </si>
  <si>
    <t>Match PRs in Week #</t>
  </si>
  <si>
    <t>All of the turquoise fields are inputs; you should set these to the appropriate values as described below.</t>
  </si>
  <si>
    <t>.....</t>
  </si>
  <si>
    <t>The maximum weight you've lifted for the given exercise.</t>
  </si>
  <si>
    <t>The number of reps you've completed at the test weight. Something close to 5 is ideal.</t>
  </si>
  <si>
    <t>The size of the steps between your ramped sets. 12.5% is the program default. Lower</t>
  </si>
  <si>
    <t>values will make your initial sets heavier, and thus the program more difficult.</t>
  </si>
  <si>
    <t>The weight a set must be (as a percentage of your computed 1RM) before it will be</t>
  </si>
  <si>
    <t>included in your relevant tonnage numbers. 60% is the program default. This value is</t>
  </si>
  <si>
    <t>for information purposes only and will not affect your program.</t>
  </si>
  <si>
    <t>The weight of the smallest plate you have available. The program worksheet will round</t>
  </si>
  <si>
    <t>all of your work weights according to this value.</t>
  </si>
  <si>
    <t>The week in which you want to match your previous 5RMs. Week 4 is the program</t>
  </si>
  <si>
    <t xml:space="preserve">default. Use a higher value if you need extra recovery time. Do NOT use a lower </t>
  </si>
  <si>
    <t>value or you'll stall early on, lose motivation and then complain this program</t>
  </si>
  <si>
    <t>doesn't work. Let it be easy for the first 3 weeks.</t>
  </si>
  <si>
    <r>
      <t>STRONGLIFTS BVBA</t>
    </r>
    <r>
      <rPr>
        <sz val="10"/>
        <rFont val="Arial"/>
        <family val="2"/>
      </rPr>
      <t xml:space="preserve"> © 2011and beyond. All Rights Reserved.</t>
    </r>
  </si>
  <si>
    <t xml:space="preserve">Spreadsheet created by StrongLifts Member Joe F. </t>
  </si>
  <si>
    <t>http://stronglifts.com/</t>
  </si>
  <si>
    <t>Madcow Intermediate Program</t>
  </si>
  <si>
    <t>Week</t>
  </si>
  <si>
    <t>Day</t>
  </si>
  <si>
    <t>Monday</t>
  </si>
  <si>
    <t>Wednesday</t>
  </si>
  <si>
    <t>Friday</t>
  </si>
  <si>
    <t>Predicted 1RMs and Total Volume Lifted</t>
  </si>
  <si>
    <t>Relevant</t>
  </si>
  <si>
    <t>Total</t>
  </si>
  <si>
    <t>Weekly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</si>
</sst>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164" fontId="0" fillId="34" borderId="17" xfId="0" applyNumberFormat="1" applyFill="1" applyBorder="1" applyAlignment="1">
      <alignment horizontal="right"/>
    </xf>
    <xf numFmtId="1" fontId="0" fillId="35" borderId="17" xfId="0" applyNumberFormat="1" applyFill="1" applyBorder="1" applyAlignment="1">
      <alignment horizontal="right"/>
    </xf>
    <xf numFmtId="1" fontId="0" fillId="35" borderId="18" xfId="0" applyNumberFormat="1" applyFill="1" applyBorder="1" applyAlignment="1">
      <alignment horizontal="right"/>
    </xf>
    <xf numFmtId="0" fontId="0" fillId="35" borderId="19" xfId="0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164" fontId="0" fillId="34" borderId="22" xfId="0" applyNumberFormat="1" applyFill="1" applyBorder="1" applyAlignment="1">
      <alignment horizontal="right"/>
    </xf>
    <xf numFmtId="1" fontId="0" fillId="35" borderId="22" xfId="0" applyNumberFormat="1" applyFill="1" applyBorder="1" applyAlignment="1">
      <alignment horizontal="right"/>
    </xf>
    <xf numFmtId="1" fontId="0" fillId="35" borderId="23" xfId="0" applyNumberFormat="1" applyFill="1" applyBorder="1" applyAlignment="1">
      <alignment horizontal="right"/>
    </xf>
    <xf numFmtId="0" fontId="0" fillId="35" borderId="24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0" fillId="35" borderId="29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2" fillId="35" borderId="30" xfId="0" applyFont="1" applyFill="1" applyBorder="1" applyAlignment="1">
      <alignment horizontal="right"/>
    </xf>
    <xf numFmtId="0" fontId="2" fillId="35" borderId="31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6" borderId="32" xfId="0" applyFill="1" applyBorder="1" applyAlignment="1">
      <alignment horizontal="right"/>
    </xf>
    <xf numFmtId="0" fontId="0" fillId="36" borderId="33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0" fontId="0" fillId="36" borderId="19" xfId="0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2" fillId="35" borderId="22" xfId="0" applyFont="1" applyFill="1" applyBorder="1" applyAlignment="1">
      <alignment horizontal="right"/>
    </xf>
    <xf numFmtId="0" fontId="2" fillId="35" borderId="24" xfId="0" applyFont="1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0" fontId="0" fillId="36" borderId="29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6" borderId="30" xfId="0" applyFill="1" applyBorder="1" applyAlignment="1">
      <alignment horizontal="right"/>
    </xf>
    <xf numFmtId="0" fontId="0" fillId="36" borderId="31" xfId="0" applyFill="1" applyBorder="1" applyAlignment="1">
      <alignment horizontal="right"/>
    </xf>
    <xf numFmtId="0" fontId="0" fillId="35" borderId="32" xfId="0" applyFill="1" applyBorder="1" applyAlignment="1">
      <alignment horizontal="right"/>
    </xf>
    <xf numFmtId="0" fontId="0" fillId="35" borderId="33" xfId="0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36" borderId="24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2" fillId="35" borderId="19" xfId="0" applyFont="1" applyFill="1" applyBorder="1" applyAlignment="1">
      <alignment horizontal="right"/>
    </xf>
    <xf numFmtId="0" fontId="0" fillId="35" borderId="30" xfId="0" applyFill="1" applyBorder="1" applyAlignment="1">
      <alignment horizontal="right"/>
    </xf>
    <xf numFmtId="0" fontId="0" fillId="35" borderId="31" xfId="0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2" fillId="36" borderId="19" xfId="0" applyFont="1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4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17" xfId="0" applyFont="1" applyFill="1" applyBorder="1" applyAlignment="1">
      <alignment horizontal="right" vertical="center"/>
    </xf>
    <xf numFmtId="3" fontId="0" fillId="36" borderId="17" xfId="0" applyNumberFormat="1" applyFill="1" applyBorder="1" applyAlignment="1">
      <alignment/>
    </xf>
    <xf numFmtId="3" fontId="0" fillId="36" borderId="29" xfId="0" applyNumberFormat="1" applyFill="1" applyBorder="1" applyAlignment="1">
      <alignment/>
    </xf>
    <xf numFmtId="0" fontId="4" fillId="33" borderId="30" xfId="0" applyFont="1" applyFill="1" applyBorder="1" applyAlignment="1">
      <alignment horizontal="right" vertical="center"/>
    </xf>
    <xf numFmtId="3" fontId="0" fillId="36" borderId="30" xfId="0" applyNumberFormat="1" applyFill="1" applyBorder="1" applyAlignment="1">
      <alignment/>
    </xf>
    <xf numFmtId="3" fontId="0" fillId="36" borderId="31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35" borderId="30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0" fontId="4" fillId="33" borderId="22" xfId="0" applyFont="1" applyFill="1" applyBorder="1" applyAlignment="1">
      <alignment horizontal="right" vertical="center"/>
    </xf>
    <xf numFmtId="3" fontId="0" fillId="36" borderId="22" xfId="0" applyNumberFormat="1" applyFill="1" applyBorder="1" applyAlignment="1">
      <alignment/>
    </xf>
    <xf numFmtId="3" fontId="0" fillId="36" borderId="24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4" xfId="0" applyNumberForma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right" vertical="center"/>
    </xf>
    <xf numFmtId="3" fontId="2" fillId="35" borderId="28" xfId="0" applyNumberFormat="1" applyFont="1" applyFill="1" applyBorder="1" applyAlignment="1">
      <alignment/>
    </xf>
    <xf numFmtId="3" fontId="2" fillId="35" borderId="29" xfId="0" applyNumberFormat="1" applyFont="1" applyFill="1" applyBorder="1" applyAlignment="1">
      <alignment/>
    </xf>
    <xf numFmtId="0" fontId="5" fillId="33" borderId="32" xfId="0" applyFont="1" applyFill="1" applyBorder="1" applyAlignment="1">
      <alignment horizontal="right" vertical="center"/>
    </xf>
    <xf numFmtId="3" fontId="2" fillId="36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/>
    </xf>
    <xf numFmtId="3" fontId="2" fillId="35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right" vertical="center"/>
    </xf>
    <xf numFmtId="3" fontId="0" fillId="36" borderId="34" xfId="0" applyNumberFormat="1" applyFont="1" applyFill="1" applyBorder="1" applyAlignment="1">
      <alignment/>
    </xf>
    <xf numFmtId="3" fontId="0" fillId="36" borderId="35" xfId="0" applyNumberFormat="1" applyFont="1" applyFill="1" applyBorder="1" applyAlignment="1">
      <alignment/>
    </xf>
    <xf numFmtId="3" fontId="0" fillId="36" borderId="22" xfId="0" applyNumberFormat="1" applyFont="1" applyFill="1" applyBorder="1" applyAlignment="1">
      <alignment/>
    </xf>
    <xf numFmtId="3" fontId="0" fillId="36" borderId="24" xfId="0" applyNumberFormat="1" applyFont="1" applyFill="1" applyBorder="1" applyAlignment="1">
      <alignment/>
    </xf>
    <xf numFmtId="0" fontId="2" fillId="33" borderId="36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523875</xdr:colOff>
      <xdr:row>2</xdr:row>
      <xdr:rowOff>200025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5528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400050</xdr:colOff>
      <xdr:row>2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419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333375</xdr:colOff>
      <xdr:row>2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381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9" sqref="C9"/>
    </sheetView>
  </sheetViews>
  <sheetFormatPr defaultColWidth="8.8515625" defaultRowHeight="12.75"/>
  <cols>
    <col min="1" max="1" width="5.00390625" style="0" customWidth="1"/>
    <col min="2" max="2" width="12.140625" style="0" customWidth="1"/>
    <col min="3" max="3" width="13.140625" style="0" customWidth="1"/>
    <col min="4" max="4" width="6.8515625" style="0" customWidth="1"/>
    <col min="5" max="5" width="13.28125" style="0" customWidth="1"/>
    <col min="6" max="6" width="16.421875" style="0" customWidth="1"/>
    <col min="7" max="8" width="8.421875" style="0" customWidth="1"/>
    <col min="9" max="9" width="15.8515625" style="0" customWidth="1"/>
  </cols>
  <sheetData>
    <row r="1" ht="16.5">
      <c r="A1" s="1"/>
    </row>
    <row r="2" ht="16.5">
      <c r="A2" s="1"/>
    </row>
    <row r="3" ht="16.5">
      <c r="A3" s="1"/>
    </row>
    <row r="4" ht="18.75" customHeight="1"/>
    <row r="5" ht="18.75" customHeight="1">
      <c r="B5" s="1" t="s">
        <v>0</v>
      </c>
    </row>
    <row r="6" ht="13.5" customHeight="1">
      <c r="B6" s="1"/>
    </row>
    <row r="8" spans="2:9" ht="12">
      <c r="B8" s="2" t="s">
        <v>1</v>
      </c>
      <c r="C8" s="3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5" t="s">
        <v>7</v>
      </c>
      <c r="I8" s="6" t="s">
        <v>8</v>
      </c>
    </row>
    <row r="9" spans="2:9" ht="12">
      <c r="B9" s="7" t="s">
        <v>9</v>
      </c>
      <c r="C9" s="8">
        <v>285</v>
      </c>
      <c r="D9" s="9">
        <v>5</v>
      </c>
      <c r="E9" s="10">
        <v>0.125</v>
      </c>
      <c r="F9" s="10">
        <v>0.6</v>
      </c>
      <c r="G9" s="11">
        <f>(C9)/(1.0278-(0.0278*D9))</f>
        <v>320.6570657065706</v>
      </c>
      <c r="H9" s="12">
        <f>G9*(1.0278-(0.0278*5))</f>
        <v>285</v>
      </c>
      <c r="I9" s="13">
        <f>ROUND(H9*((1/1.025)^(PRWEEK-1))/(2*PLATE),0)*2*PLATE</f>
        <v>265</v>
      </c>
    </row>
    <row r="10" spans="2:9" ht="12">
      <c r="B10" s="7" t="s">
        <v>10</v>
      </c>
      <c r="C10" s="8">
        <v>200</v>
      </c>
      <c r="D10" s="9">
        <v>5</v>
      </c>
      <c r="E10" s="10">
        <v>0.125</v>
      </c>
      <c r="F10" s="10">
        <v>0.6</v>
      </c>
      <c r="G10" s="11">
        <f>(C10)/(1.0278-(0.0278*D10))</f>
        <v>225.02250225022502</v>
      </c>
      <c r="H10" s="12">
        <f>G10*(1.0278-(0.0278*5))</f>
        <v>200</v>
      </c>
      <c r="I10" s="13">
        <f>ROUND(H10*((1/1.025)^(PRWEEK-1))/(2*PLATE),0)*2*PLATE</f>
        <v>185</v>
      </c>
    </row>
    <row r="11" spans="2:9" ht="12">
      <c r="B11" s="7" t="s">
        <v>11</v>
      </c>
      <c r="C11" s="8">
        <v>185</v>
      </c>
      <c r="D11" s="9">
        <v>5</v>
      </c>
      <c r="E11" s="10">
        <v>0.125</v>
      </c>
      <c r="F11" s="10">
        <v>0.6</v>
      </c>
      <c r="G11" s="11">
        <f>(C11)/(1.0278-(0.0278*D11))</f>
        <v>208.14581458145813</v>
      </c>
      <c r="H11" s="12">
        <f>G11*(1.0278-(0.0278*5))</f>
        <v>185</v>
      </c>
      <c r="I11" s="13">
        <f>ROUND(H11*((1/1.025)^(PRWEEK-1))/(2*PLATE),0)*2*PLATE</f>
        <v>170</v>
      </c>
    </row>
    <row r="12" spans="2:9" ht="12">
      <c r="B12" s="7" t="s">
        <v>12</v>
      </c>
      <c r="C12" s="8">
        <v>135</v>
      </c>
      <c r="D12" s="9">
        <v>5</v>
      </c>
      <c r="E12" s="10">
        <v>0.125</v>
      </c>
      <c r="F12" s="10">
        <v>0.6</v>
      </c>
      <c r="G12" s="11">
        <f>(C12)/(1.0278-(0.0278*D12))</f>
        <v>151.89018901890188</v>
      </c>
      <c r="H12" s="12">
        <f>G12*(1.0278-(0.0278*5))</f>
        <v>135</v>
      </c>
      <c r="I12" s="13">
        <f>ROUND(H12*((1/1.025)^(PRWEEK-1))/(2*PLATE),0)*2*PLATE</f>
        <v>125</v>
      </c>
    </row>
    <row r="13" spans="2:9" ht="12">
      <c r="B13" s="14" t="s">
        <v>13</v>
      </c>
      <c r="C13" s="15">
        <v>350</v>
      </c>
      <c r="D13" s="16">
        <v>5</v>
      </c>
      <c r="E13" s="17">
        <v>0.125</v>
      </c>
      <c r="F13" s="17">
        <v>0.6</v>
      </c>
      <c r="G13" s="18">
        <f>(C13)/(1.0278-(0.0278*D13))</f>
        <v>393.7893789378938</v>
      </c>
      <c r="H13" s="19">
        <f>G13*(1.0278-(0.0278*5))</f>
        <v>350</v>
      </c>
      <c r="I13" s="20">
        <f>ROUND(H13*((1/1.025)^(PRWEEK-1))/(2*PLATE),0)*2*PLATE</f>
        <v>325</v>
      </c>
    </row>
    <row r="15" spans="2:4" ht="12">
      <c r="B15" s="102" t="s">
        <v>14</v>
      </c>
      <c r="C15" s="102"/>
      <c r="D15" s="21">
        <v>2.5</v>
      </c>
    </row>
    <row r="16" spans="2:4" ht="12">
      <c r="B16" s="103" t="s">
        <v>15</v>
      </c>
      <c r="C16" s="103"/>
      <c r="D16" s="22">
        <v>4</v>
      </c>
    </row>
    <row r="18" ht="12">
      <c r="B18" t="s">
        <v>16</v>
      </c>
    </row>
    <row r="20" spans="2:5" ht="12">
      <c r="B20" s="104" t="s">
        <v>2</v>
      </c>
      <c r="C20" s="104"/>
      <c r="D20" s="23" t="s">
        <v>17</v>
      </c>
      <c r="E20" t="s">
        <v>18</v>
      </c>
    </row>
    <row r="21" spans="2:5" ht="12">
      <c r="B21" s="104" t="s">
        <v>3</v>
      </c>
      <c r="C21" s="104"/>
      <c r="D21" s="23" t="s">
        <v>17</v>
      </c>
      <c r="E21" t="s">
        <v>19</v>
      </c>
    </row>
    <row r="22" spans="2:5" ht="12">
      <c r="B22" s="104" t="s">
        <v>4</v>
      </c>
      <c r="C22" s="104"/>
      <c r="D22" s="23" t="s">
        <v>17</v>
      </c>
      <c r="E22" t="s">
        <v>20</v>
      </c>
    </row>
    <row r="23" spans="2:5" ht="12">
      <c r="B23" s="24"/>
      <c r="C23" s="24"/>
      <c r="D23" s="23"/>
      <c r="E23" t="s">
        <v>21</v>
      </c>
    </row>
    <row r="24" spans="2:5" ht="12">
      <c r="B24" s="104" t="s">
        <v>5</v>
      </c>
      <c r="C24" s="104"/>
      <c r="D24" s="23" t="s">
        <v>17</v>
      </c>
      <c r="E24" t="s">
        <v>22</v>
      </c>
    </row>
    <row r="25" spans="2:5" ht="12">
      <c r="B25" s="24"/>
      <c r="C25" s="24"/>
      <c r="D25" s="23"/>
      <c r="E25" t="s">
        <v>23</v>
      </c>
    </row>
    <row r="26" spans="2:5" ht="12">
      <c r="B26" s="24"/>
      <c r="C26" s="24"/>
      <c r="D26" s="23"/>
      <c r="E26" t="s">
        <v>24</v>
      </c>
    </row>
    <row r="27" spans="2:5" ht="12">
      <c r="B27" s="104" t="s">
        <v>14</v>
      </c>
      <c r="C27" s="104"/>
      <c r="D27" s="23" t="s">
        <v>17</v>
      </c>
      <c r="E27" t="s">
        <v>25</v>
      </c>
    </row>
    <row r="28" spans="2:5" ht="12">
      <c r="B28" s="24"/>
      <c r="C28" s="24"/>
      <c r="D28" s="23"/>
      <c r="E28" t="s">
        <v>26</v>
      </c>
    </row>
    <row r="29" spans="2:5" ht="12">
      <c r="B29" s="104" t="s">
        <v>15</v>
      </c>
      <c r="C29" s="104"/>
      <c r="D29" s="23" t="s">
        <v>17</v>
      </c>
      <c r="E29" t="s">
        <v>27</v>
      </c>
    </row>
    <row r="30" ht="12">
      <c r="E30" t="s">
        <v>28</v>
      </c>
    </row>
    <row r="31" ht="12">
      <c r="E31" t="s">
        <v>29</v>
      </c>
    </row>
    <row r="32" ht="12">
      <c r="E32" t="s">
        <v>30</v>
      </c>
    </row>
    <row r="38" ht="12">
      <c r="B38" s="25" t="s">
        <v>31</v>
      </c>
    </row>
    <row r="39" ht="12">
      <c r="B39" t="s">
        <v>32</v>
      </c>
    </row>
    <row r="41" ht="12">
      <c r="B41" s="26" t="s">
        <v>33</v>
      </c>
    </row>
  </sheetData>
  <sheetProtection selectLockedCells="1" selectUnlockedCells="1"/>
  <mergeCells count="8">
    <mergeCell ref="B27:C27"/>
    <mergeCell ref="B29:C29"/>
    <mergeCell ref="B15:C15"/>
    <mergeCell ref="B16:C16"/>
    <mergeCell ref="B20:C20"/>
    <mergeCell ref="B21:C21"/>
    <mergeCell ref="B22:C22"/>
    <mergeCell ref="B24:C24"/>
  </mergeCells>
  <hyperlinks>
    <hyperlink ref="B41" r:id="rId1" display="http://stronglifts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D50" sqref="D50"/>
    </sheetView>
  </sheetViews>
  <sheetFormatPr defaultColWidth="8.8515625" defaultRowHeight="12.75"/>
  <cols>
    <col min="1" max="1" width="4.421875" style="0" customWidth="1"/>
    <col min="2" max="2" width="12.421875" style="0" customWidth="1"/>
    <col min="3" max="3" width="9.28125" style="0" customWidth="1"/>
    <col min="4" max="16" width="7.8515625" style="0" customWidth="1"/>
  </cols>
  <sheetData>
    <row r="1" ht="16.5">
      <c r="A1" s="1"/>
    </row>
    <row r="2" ht="16.5">
      <c r="A2" s="1"/>
    </row>
    <row r="3" ht="16.5">
      <c r="A3" s="1"/>
    </row>
    <row r="4" ht="16.5">
      <c r="A4" s="1"/>
    </row>
    <row r="5" spans="1:2" ht="16.5">
      <c r="A5" s="1"/>
      <c r="B5" s="1" t="s">
        <v>34</v>
      </c>
    </row>
    <row r="7" ht="16.5">
      <c r="B7" s="1"/>
    </row>
    <row r="8" spans="5:16" ht="12">
      <c r="E8" s="105" t="s">
        <v>35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6" ht="12">
      <c r="B9" s="27" t="s">
        <v>36</v>
      </c>
      <c r="C9" s="28" t="s">
        <v>1</v>
      </c>
      <c r="D9" s="4" t="s">
        <v>3</v>
      </c>
      <c r="E9" s="29">
        <v>1</v>
      </c>
      <c r="F9" s="29">
        <v>2</v>
      </c>
      <c r="G9" s="29">
        <v>3</v>
      </c>
      <c r="H9" s="29">
        <v>4</v>
      </c>
      <c r="I9" s="29">
        <v>5</v>
      </c>
      <c r="J9" s="29">
        <v>6</v>
      </c>
      <c r="K9" s="29">
        <v>7</v>
      </c>
      <c r="L9" s="29">
        <v>8</v>
      </c>
      <c r="M9" s="29">
        <v>9</v>
      </c>
      <c r="N9" s="29">
        <v>10</v>
      </c>
      <c r="O9" s="29">
        <v>11</v>
      </c>
      <c r="P9" s="30">
        <v>12</v>
      </c>
    </row>
    <row r="10" spans="2:16" ht="12">
      <c r="B10" s="106" t="s">
        <v>37</v>
      </c>
      <c r="C10" s="107" t="s">
        <v>9</v>
      </c>
      <c r="D10" s="31">
        <v>5</v>
      </c>
      <c r="E10" s="32">
        <f aca="true" t="shared" si="0" ref="E10:P10">ROUND(E14*(1-SQINT*4)/(2*PLATE),0)*2*PLATE</f>
        <v>135</v>
      </c>
      <c r="F10" s="32">
        <f t="shared" si="0"/>
        <v>135</v>
      </c>
      <c r="G10" s="32">
        <f t="shared" si="0"/>
        <v>140</v>
      </c>
      <c r="H10" s="32">
        <f t="shared" si="0"/>
        <v>145</v>
      </c>
      <c r="I10" s="32">
        <f t="shared" si="0"/>
        <v>150</v>
      </c>
      <c r="J10" s="32">
        <f t="shared" si="0"/>
        <v>150</v>
      </c>
      <c r="K10" s="32">
        <f t="shared" si="0"/>
        <v>155</v>
      </c>
      <c r="L10" s="32">
        <f t="shared" si="0"/>
        <v>160</v>
      </c>
      <c r="M10" s="32">
        <f t="shared" si="0"/>
        <v>165</v>
      </c>
      <c r="N10" s="32">
        <f t="shared" si="0"/>
        <v>165</v>
      </c>
      <c r="O10" s="32">
        <f t="shared" si="0"/>
        <v>170</v>
      </c>
      <c r="P10" s="33">
        <f t="shared" si="0"/>
        <v>175</v>
      </c>
    </row>
    <row r="11" spans="2:16" ht="12">
      <c r="B11" s="106"/>
      <c r="C11" s="107"/>
      <c r="D11" s="34">
        <v>5</v>
      </c>
      <c r="E11" s="35">
        <f aca="true" t="shared" si="1" ref="E11:P11">ROUND(E14*(1-SQINT*3)/(2*PLATE),0)*2*PLATE</f>
        <v>165</v>
      </c>
      <c r="F11" s="35">
        <f t="shared" si="1"/>
        <v>170</v>
      </c>
      <c r="G11" s="35">
        <f t="shared" si="1"/>
        <v>175</v>
      </c>
      <c r="H11" s="35">
        <f t="shared" si="1"/>
        <v>180</v>
      </c>
      <c r="I11" s="35">
        <f t="shared" si="1"/>
        <v>185</v>
      </c>
      <c r="J11" s="35">
        <f t="shared" si="1"/>
        <v>190</v>
      </c>
      <c r="K11" s="35">
        <f t="shared" si="1"/>
        <v>190</v>
      </c>
      <c r="L11" s="35">
        <f t="shared" si="1"/>
        <v>195</v>
      </c>
      <c r="M11" s="35">
        <f t="shared" si="1"/>
        <v>205</v>
      </c>
      <c r="N11" s="35">
        <f t="shared" si="1"/>
        <v>205</v>
      </c>
      <c r="O11" s="35">
        <f t="shared" si="1"/>
        <v>215</v>
      </c>
      <c r="P11" s="36">
        <f t="shared" si="1"/>
        <v>220</v>
      </c>
    </row>
    <row r="12" spans="2:16" ht="12">
      <c r="B12" s="106"/>
      <c r="C12" s="107"/>
      <c r="D12" s="34">
        <v>5</v>
      </c>
      <c r="E12" s="35">
        <f aca="true" t="shared" si="2" ref="E12:P12">ROUND(E14*(1-SQINT*2)/(2*PLATE),0)*2*PLATE</f>
        <v>200</v>
      </c>
      <c r="F12" s="35">
        <f t="shared" si="2"/>
        <v>205</v>
      </c>
      <c r="G12" s="35">
        <f t="shared" si="2"/>
        <v>210</v>
      </c>
      <c r="H12" s="35">
        <f t="shared" si="2"/>
        <v>215</v>
      </c>
      <c r="I12" s="35">
        <f t="shared" si="2"/>
        <v>220</v>
      </c>
      <c r="J12" s="35">
        <f t="shared" si="2"/>
        <v>225</v>
      </c>
      <c r="K12" s="35">
        <f t="shared" si="2"/>
        <v>230</v>
      </c>
      <c r="L12" s="35">
        <f t="shared" si="2"/>
        <v>235</v>
      </c>
      <c r="M12" s="35">
        <f t="shared" si="2"/>
        <v>245</v>
      </c>
      <c r="N12" s="35">
        <f t="shared" si="2"/>
        <v>250</v>
      </c>
      <c r="O12" s="35">
        <f t="shared" si="2"/>
        <v>255</v>
      </c>
      <c r="P12" s="36">
        <f t="shared" si="2"/>
        <v>265</v>
      </c>
    </row>
    <row r="13" spans="2:16" ht="12">
      <c r="B13" s="106"/>
      <c r="C13" s="107"/>
      <c r="D13" s="34">
        <v>5</v>
      </c>
      <c r="E13" s="35">
        <f aca="true" t="shared" si="3" ref="E13:P13">ROUND(E14*(1-SQINT)/(2*PLATE),0)*2*PLATE</f>
        <v>230</v>
      </c>
      <c r="F13" s="35">
        <f t="shared" si="3"/>
        <v>235</v>
      </c>
      <c r="G13" s="35">
        <f t="shared" si="3"/>
        <v>245</v>
      </c>
      <c r="H13" s="35">
        <f t="shared" si="3"/>
        <v>250</v>
      </c>
      <c r="I13" s="35">
        <f t="shared" si="3"/>
        <v>260</v>
      </c>
      <c r="J13" s="35">
        <f t="shared" si="3"/>
        <v>265</v>
      </c>
      <c r="K13" s="35">
        <f t="shared" si="3"/>
        <v>265</v>
      </c>
      <c r="L13" s="35">
        <f t="shared" si="3"/>
        <v>275</v>
      </c>
      <c r="M13" s="35">
        <f t="shared" si="3"/>
        <v>285</v>
      </c>
      <c r="N13" s="35">
        <f t="shared" si="3"/>
        <v>290</v>
      </c>
      <c r="O13" s="35">
        <f t="shared" si="3"/>
        <v>300</v>
      </c>
      <c r="P13" s="36">
        <f t="shared" si="3"/>
        <v>305</v>
      </c>
    </row>
    <row r="14" spans="2:16" ht="12">
      <c r="B14" s="106"/>
      <c r="C14" s="107"/>
      <c r="D14" s="37">
        <v>5</v>
      </c>
      <c r="E14" s="38">
        <f>SQ</f>
        <v>265</v>
      </c>
      <c r="F14" s="38">
        <f aca="true" t="shared" si="4" ref="F14:P14">ROUND(SQ*(1.025^E9)/(2*PLATE),0)*2*PLATE</f>
        <v>270</v>
      </c>
      <c r="G14" s="38">
        <f t="shared" si="4"/>
        <v>280</v>
      </c>
      <c r="H14" s="38">
        <f t="shared" si="4"/>
        <v>285</v>
      </c>
      <c r="I14" s="38">
        <f t="shared" si="4"/>
        <v>295</v>
      </c>
      <c r="J14" s="38">
        <f t="shared" si="4"/>
        <v>300</v>
      </c>
      <c r="K14" s="38">
        <f t="shared" si="4"/>
        <v>305</v>
      </c>
      <c r="L14" s="38">
        <f t="shared" si="4"/>
        <v>315</v>
      </c>
      <c r="M14" s="38">
        <f t="shared" si="4"/>
        <v>325</v>
      </c>
      <c r="N14" s="38">
        <f t="shared" si="4"/>
        <v>330</v>
      </c>
      <c r="O14" s="38">
        <f t="shared" si="4"/>
        <v>340</v>
      </c>
      <c r="P14" s="39">
        <f t="shared" si="4"/>
        <v>350</v>
      </c>
    </row>
    <row r="15" spans="2:16" ht="12">
      <c r="B15" s="106"/>
      <c r="C15" s="108" t="s">
        <v>10</v>
      </c>
      <c r="D15" s="40">
        <v>5</v>
      </c>
      <c r="E15" s="41">
        <f aca="true" t="shared" si="5" ref="E15:P15">ROUND(E19*(1-BPINT*4)/(2*PLATE),0)*2*PLATE</f>
        <v>95</v>
      </c>
      <c r="F15" s="41">
        <f t="shared" si="5"/>
        <v>95</v>
      </c>
      <c r="G15" s="41">
        <f t="shared" si="5"/>
        <v>100</v>
      </c>
      <c r="H15" s="41">
        <f t="shared" si="5"/>
        <v>100</v>
      </c>
      <c r="I15" s="41">
        <f t="shared" si="5"/>
        <v>105</v>
      </c>
      <c r="J15" s="41">
        <f t="shared" si="5"/>
        <v>105</v>
      </c>
      <c r="K15" s="41">
        <f t="shared" si="5"/>
        <v>110</v>
      </c>
      <c r="L15" s="41">
        <f t="shared" si="5"/>
        <v>110</v>
      </c>
      <c r="M15" s="41">
        <f t="shared" si="5"/>
        <v>115</v>
      </c>
      <c r="N15" s="41">
        <f t="shared" si="5"/>
        <v>115</v>
      </c>
      <c r="O15" s="41">
        <f t="shared" si="5"/>
        <v>120</v>
      </c>
      <c r="P15" s="42">
        <f t="shared" si="5"/>
        <v>125</v>
      </c>
    </row>
    <row r="16" spans="2:16" ht="12">
      <c r="B16" s="106"/>
      <c r="C16" s="108"/>
      <c r="D16" s="34">
        <v>5</v>
      </c>
      <c r="E16" s="43">
        <f aca="true" t="shared" si="6" ref="E16:P16">ROUND(E19*(1-BPINT*3)/(2*PLATE),0)*2*PLATE</f>
        <v>115</v>
      </c>
      <c r="F16" s="43">
        <f t="shared" si="6"/>
        <v>120</v>
      </c>
      <c r="G16" s="43">
        <f t="shared" si="6"/>
        <v>120</v>
      </c>
      <c r="H16" s="43">
        <f t="shared" si="6"/>
        <v>125</v>
      </c>
      <c r="I16" s="43">
        <f t="shared" si="6"/>
        <v>130</v>
      </c>
      <c r="J16" s="43">
        <f t="shared" si="6"/>
        <v>130</v>
      </c>
      <c r="K16" s="43">
        <f t="shared" si="6"/>
        <v>135</v>
      </c>
      <c r="L16" s="43">
        <f t="shared" si="6"/>
        <v>140</v>
      </c>
      <c r="M16" s="43">
        <f t="shared" si="6"/>
        <v>140</v>
      </c>
      <c r="N16" s="43">
        <f t="shared" si="6"/>
        <v>145</v>
      </c>
      <c r="O16" s="43">
        <f t="shared" si="6"/>
        <v>145</v>
      </c>
      <c r="P16" s="44">
        <f t="shared" si="6"/>
        <v>155</v>
      </c>
    </row>
    <row r="17" spans="2:16" ht="12">
      <c r="B17" s="106"/>
      <c r="C17" s="108"/>
      <c r="D17" s="34">
        <v>5</v>
      </c>
      <c r="E17" s="43">
        <f aca="true" t="shared" si="7" ref="E17:P17">ROUND(E19*(1-BPINT*2)/(2*PLATE),0)*2*PLATE</f>
        <v>140</v>
      </c>
      <c r="F17" s="43">
        <f t="shared" si="7"/>
        <v>145</v>
      </c>
      <c r="G17" s="43">
        <f t="shared" si="7"/>
        <v>145</v>
      </c>
      <c r="H17" s="43">
        <f t="shared" si="7"/>
        <v>150</v>
      </c>
      <c r="I17" s="43">
        <f t="shared" si="7"/>
        <v>155</v>
      </c>
      <c r="J17" s="43">
        <f t="shared" si="7"/>
        <v>160</v>
      </c>
      <c r="K17" s="43">
        <f t="shared" si="7"/>
        <v>160</v>
      </c>
      <c r="L17" s="43">
        <f t="shared" si="7"/>
        <v>165</v>
      </c>
      <c r="M17" s="43">
        <f t="shared" si="7"/>
        <v>170</v>
      </c>
      <c r="N17" s="43">
        <f t="shared" si="7"/>
        <v>175</v>
      </c>
      <c r="O17" s="43">
        <f t="shared" si="7"/>
        <v>175</v>
      </c>
      <c r="P17" s="44">
        <f t="shared" si="7"/>
        <v>185</v>
      </c>
    </row>
    <row r="18" spans="2:16" ht="12">
      <c r="B18" s="106"/>
      <c r="C18" s="108"/>
      <c r="D18" s="34">
        <v>5</v>
      </c>
      <c r="E18" s="43">
        <f aca="true" t="shared" si="8" ref="E18:P18">ROUND(E19*(1-BPINT)/(2*PLATE),0)*2*PLATE</f>
        <v>160</v>
      </c>
      <c r="F18" s="43">
        <f t="shared" si="8"/>
        <v>165</v>
      </c>
      <c r="G18" s="43">
        <f t="shared" si="8"/>
        <v>170</v>
      </c>
      <c r="H18" s="43">
        <f t="shared" si="8"/>
        <v>175</v>
      </c>
      <c r="I18" s="43">
        <f t="shared" si="8"/>
        <v>180</v>
      </c>
      <c r="J18" s="43">
        <f t="shared" si="8"/>
        <v>185</v>
      </c>
      <c r="K18" s="43">
        <f t="shared" si="8"/>
        <v>190</v>
      </c>
      <c r="L18" s="43">
        <f t="shared" si="8"/>
        <v>195</v>
      </c>
      <c r="M18" s="43">
        <f t="shared" si="8"/>
        <v>195</v>
      </c>
      <c r="N18" s="43">
        <f t="shared" si="8"/>
        <v>200</v>
      </c>
      <c r="O18" s="43">
        <f t="shared" si="8"/>
        <v>205</v>
      </c>
      <c r="P18" s="44">
        <f t="shared" si="8"/>
        <v>215</v>
      </c>
    </row>
    <row r="19" spans="2:16" ht="12">
      <c r="B19" s="106"/>
      <c r="C19" s="108"/>
      <c r="D19" s="37">
        <v>5</v>
      </c>
      <c r="E19" s="45">
        <f>BP</f>
        <v>185</v>
      </c>
      <c r="F19" s="45">
        <f aca="true" t="shared" si="9" ref="F19:P19">ROUND(BP*(1.025^E9)/(2*PLATE),0)*2*PLATE</f>
        <v>190</v>
      </c>
      <c r="G19" s="45">
        <f t="shared" si="9"/>
        <v>195</v>
      </c>
      <c r="H19" s="45">
        <f t="shared" si="9"/>
        <v>200</v>
      </c>
      <c r="I19" s="45">
        <f t="shared" si="9"/>
        <v>205</v>
      </c>
      <c r="J19" s="45">
        <f t="shared" si="9"/>
        <v>210</v>
      </c>
      <c r="K19" s="45">
        <f t="shared" si="9"/>
        <v>215</v>
      </c>
      <c r="L19" s="45">
        <f t="shared" si="9"/>
        <v>220</v>
      </c>
      <c r="M19" s="45">
        <f t="shared" si="9"/>
        <v>225</v>
      </c>
      <c r="N19" s="45">
        <f t="shared" si="9"/>
        <v>230</v>
      </c>
      <c r="O19" s="45">
        <f t="shared" si="9"/>
        <v>235</v>
      </c>
      <c r="P19" s="46">
        <f t="shared" si="9"/>
        <v>245</v>
      </c>
    </row>
    <row r="20" spans="2:16" ht="12">
      <c r="B20" s="106"/>
      <c r="C20" s="109" t="s">
        <v>11</v>
      </c>
      <c r="D20" s="34">
        <v>5</v>
      </c>
      <c r="E20" s="35">
        <f aca="true" t="shared" si="10" ref="E20:P20">ROUND(E24*(1-BBRINT*4)/(2*PLATE),0)*2*PLATE</f>
        <v>85</v>
      </c>
      <c r="F20" s="35">
        <f t="shared" si="10"/>
        <v>90</v>
      </c>
      <c r="G20" s="35">
        <f t="shared" si="10"/>
        <v>90</v>
      </c>
      <c r="H20" s="35">
        <f t="shared" si="10"/>
        <v>95</v>
      </c>
      <c r="I20" s="35">
        <f t="shared" si="10"/>
        <v>95</v>
      </c>
      <c r="J20" s="35">
        <f t="shared" si="10"/>
        <v>95</v>
      </c>
      <c r="K20" s="35">
        <f t="shared" si="10"/>
        <v>100</v>
      </c>
      <c r="L20" s="35">
        <f t="shared" si="10"/>
        <v>100</v>
      </c>
      <c r="M20" s="35">
        <f t="shared" si="10"/>
        <v>105</v>
      </c>
      <c r="N20" s="35">
        <f t="shared" si="10"/>
        <v>105</v>
      </c>
      <c r="O20" s="35">
        <f t="shared" si="10"/>
        <v>110</v>
      </c>
      <c r="P20" s="36">
        <f t="shared" si="10"/>
        <v>115</v>
      </c>
    </row>
    <row r="21" spans="2:16" ht="12">
      <c r="B21" s="106"/>
      <c r="C21" s="109"/>
      <c r="D21" s="34">
        <v>5</v>
      </c>
      <c r="E21" s="35">
        <f aca="true" t="shared" si="11" ref="E21:P21">ROUND(E24*(1-BBRINT*3)/(2*PLATE),0)*2*PLATE</f>
        <v>105</v>
      </c>
      <c r="F21" s="35">
        <f t="shared" si="11"/>
        <v>110</v>
      </c>
      <c r="G21" s="35">
        <f t="shared" si="11"/>
        <v>115</v>
      </c>
      <c r="H21" s="35">
        <f t="shared" si="11"/>
        <v>115</v>
      </c>
      <c r="I21" s="35">
        <f t="shared" si="11"/>
        <v>120</v>
      </c>
      <c r="J21" s="35">
        <f t="shared" si="11"/>
        <v>120</v>
      </c>
      <c r="K21" s="35">
        <f t="shared" si="11"/>
        <v>120</v>
      </c>
      <c r="L21" s="35">
        <f t="shared" si="11"/>
        <v>125</v>
      </c>
      <c r="M21" s="35">
        <f t="shared" si="11"/>
        <v>130</v>
      </c>
      <c r="N21" s="35">
        <f t="shared" si="11"/>
        <v>130</v>
      </c>
      <c r="O21" s="35">
        <f t="shared" si="11"/>
        <v>140</v>
      </c>
      <c r="P21" s="36">
        <f t="shared" si="11"/>
        <v>140</v>
      </c>
    </row>
    <row r="22" spans="2:16" ht="12">
      <c r="B22" s="106"/>
      <c r="C22" s="109"/>
      <c r="D22" s="34">
        <v>5</v>
      </c>
      <c r="E22" s="35">
        <f aca="true" t="shared" si="12" ref="E22:P22">ROUND(E24*(1-BBRINT*2)/(2*PLATE),0)*2*PLATE</f>
        <v>130</v>
      </c>
      <c r="F22" s="35">
        <f t="shared" si="12"/>
        <v>130</v>
      </c>
      <c r="G22" s="35">
        <f t="shared" si="12"/>
        <v>135</v>
      </c>
      <c r="H22" s="35">
        <f t="shared" si="12"/>
        <v>140</v>
      </c>
      <c r="I22" s="35">
        <f t="shared" si="12"/>
        <v>145</v>
      </c>
      <c r="J22" s="35">
        <f t="shared" si="12"/>
        <v>145</v>
      </c>
      <c r="K22" s="35">
        <f t="shared" si="12"/>
        <v>145</v>
      </c>
      <c r="L22" s="35">
        <f t="shared" si="12"/>
        <v>150</v>
      </c>
      <c r="M22" s="35">
        <f t="shared" si="12"/>
        <v>155</v>
      </c>
      <c r="N22" s="35">
        <f t="shared" si="12"/>
        <v>160</v>
      </c>
      <c r="O22" s="35">
        <f t="shared" si="12"/>
        <v>165</v>
      </c>
      <c r="P22" s="36">
        <f t="shared" si="12"/>
        <v>170</v>
      </c>
    </row>
    <row r="23" spans="2:16" ht="12">
      <c r="B23" s="106"/>
      <c r="C23" s="109"/>
      <c r="D23" s="34">
        <v>5</v>
      </c>
      <c r="E23" s="35">
        <f aca="true" t="shared" si="13" ref="E23:P23">ROUND(E24*(1-BBRINT)/(2*PLATE),0)*2*PLATE</f>
        <v>150</v>
      </c>
      <c r="F23" s="35">
        <f t="shared" si="13"/>
        <v>155</v>
      </c>
      <c r="G23" s="35">
        <f t="shared" si="13"/>
        <v>160</v>
      </c>
      <c r="H23" s="35">
        <f t="shared" si="13"/>
        <v>160</v>
      </c>
      <c r="I23" s="35">
        <f t="shared" si="13"/>
        <v>165</v>
      </c>
      <c r="J23" s="35">
        <f t="shared" si="13"/>
        <v>165</v>
      </c>
      <c r="K23" s="35">
        <f t="shared" si="13"/>
        <v>170</v>
      </c>
      <c r="L23" s="35">
        <f t="shared" si="13"/>
        <v>175</v>
      </c>
      <c r="M23" s="35">
        <f t="shared" si="13"/>
        <v>180</v>
      </c>
      <c r="N23" s="35">
        <f t="shared" si="13"/>
        <v>185</v>
      </c>
      <c r="O23" s="35">
        <f t="shared" si="13"/>
        <v>195</v>
      </c>
      <c r="P23" s="36">
        <f t="shared" si="13"/>
        <v>195</v>
      </c>
    </row>
    <row r="24" spans="2:16" ht="12">
      <c r="B24" s="106"/>
      <c r="C24" s="109"/>
      <c r="D24" s="29">
        <v>5</v>
      </c>
      <c r="E24" s="47">
        <f>BBR</f>
        <v>170</v>
      </c>
      <c r="F24" s="47">
        <f aca="true" t="shared" si="14" ref="F24:P24">ROUND(BBR*(1.025^E9)/(2*PLATE),0)*2*PLATE</f>
        <v>175</v>
      </c>
      <c r="G24" s="47">
        <f t="shared" si="14"/>
        <v>180</v>
      </c>
      <c r="H24" s="47">
        <f t="shared" si="14"/>
        <v>185</v>
      </c>
      <c r="I24" s="47">
        <f t="shared" si="14"/>
        <v>190</v>
      </c>
      <c r="J24" s="47">
        <f t="shared" si="14"/>
        <v>190</v>
      </c>
      <c r="K24" s="47">
        <f t="shared" si="14"/>
        <v>195</v>
      </c>
      <c r="L24" s="47">
        <f t="shared" si="14"/>
        <v>200</v>
      </c>
      <c r="M24" s="47">
        <f t="shared" si="14"/>
        <v>205</v>
      </c>
      <c r="N24" s="47">
        <f t="shared" si="14"/>
        <v>210</v>
      </c>
      <c r="O24" s="47">
        <f t="shared" si="14"/>
        <v>220</v>
      </c>
      <c r="P24" s="48">
        <f t="shared" si="14"/>
        <v>225</v>
      </c>
    </row>
    <row r="25" spans="2:16" ht="12">
      <c r="B25" s="106" t="s">
        <v>38</v>
      </c>
      <c r="C25" s="107" t="s">
        <v>9</v>
      </c>
      <c r="D25" s="31">
        <v>5</v>
      </c>
      <c r="E25" s="49">
        <f aca="true" t="shared" si="15" ref="E25:P25">E10</f>
        <v>135</v>
      </c>
      <c r="F25" s="49">
        <f t="shared" si="15"/>
        <v>135</v>
      </c>
      <c r="G25" s="49">
        <f t="shared" si="15"/>
        <v>140</v>
      </c>
      <c r="H25" s="49">
        <f t="shared" si="15"/>
        <v>145</v>
      </c>
      <c r="I25" s="49">
        <f t="shared" si="15"/>
        <v>150</v>
      </c>
      <c r="J25" s="49">
        <f t="shared" si="15"/>
        <v>150</v>
      </c>
      <c r="K25" s="49">
        <f t="shared" si="15"/>
        <v>155</v>
      </c>
      <c r="L25" s="49">
        <f t="shared" si="15"/>
        <v>160</v>
      </c>
      <c r="M25" s="49">
        <f t="shared" si="15"/>
        <v>165</v>
      </c>
      <c r="N25" s="49">
        <f t="shared" si="15"/>
        <v>165</v>
      </c>
      <c r="O25" s="49">
        <f t="shared" si="15"/>
        <v>170</v>
      </c>
      <c r="P25" s="50">
        <f t="shared" si="15"/>
        <v>175</v>
      </c>
    </row>
    <row r="26" spans="2:16" ht="12">
      <c r="B26" s="106"/>
      <c r="C26" s="107"/>
      <c r="D26" s="34">
        <v>5</v>
      </c>
      <c r="E26" s="43">
        <f aca="true" t="shared" si="16" ref="E26:P26">E11</f>
        <v>165</v>
      </c>
      <c r="F26" s="43">
        <f t="shared" si="16"/>
        <v>170</v>
      </c>
      <c r="G26" s="43">
        <f t="shared" si="16"/>
        <v>175</v>
      </c>
      <c r="H26" s="43">
        <f t="shared" si="16"/>
        <v>180</v>
      </c>
      <c r="I26" s="43">
        <f t="shared" si="16"/>
        <v>185</v>
      </c>
      <c r="J26" s="43">
        <f t="shared" si="16"/>
        <v>190</v>
      </c>
      <c r="K26" s="43">
        <f t="shared" si="16"/>
        <v>190</v>
      </c>
      <c r="L26" s="43">
        <f t="shared" si="16"/>
        <v>195</v>
      </c>
      <c r="M26" s="43">
        <f t="shared" si="16"/>
        <v>205</v>
      </c>
      <c r="N26" s="43">
        <f t="shared" si="16"/>
        <v>205</v>
      </c>
      <c r="O26" s="43">
        <f t="shared" si="16"/>
        <v>215</v>
      </c>
      <c r="P26" s="44">
        <f t="shared" si="16"/>
        <v>220</v>
      </c>
    </row>
    <row r="27" spans="2:16" ht="12">
      <c r="B27" s="106"/>
      <c r="C27" s="107"/>
      <c r="D27" s="34">
        <v>5</v>
      </c>
      <c r="E27" s="43">
        <f aca="true" t="shared" si="17" ref="E27:P27">E12</f>
        <v>200</v>
      </c>
      <c r="F27" s="43">
        <f t="shared" si="17"/>
        <v>205</v>
      </c>
      <c r="G27" s="43">
        <f t="shared" si="17"/>
        <v>210</v>
      </c>
      <c r="H27" s="43">
        <f t="shared" si="17"/>
        <v>215</v>
      </c>
      <c r="I27" s="43">
        <f t="shared" si="17"/>
        <v>220</v>
      </c>
      <c r="J27" s="43">
        <f t="shared" si="17"/>
        <v>225</v>
      </c>
      <c r="K27" s="43">
        <f t="shared" si="17"/>
        <v>230</v>
      </c>
      <c r="L27" s="43">
        <f t="shared" si="17"/>
        <v>235</v>
      </c>
      <c r="M27" s="43">
        <f t="shared" si="17"/>
        <v>245</v>
      </c>
      <c r="N27" s="43">
        <f t="shared" si="17"/>
        <v>250</v>
      </c>
      <c r="O27" s="43">
        <f t="shared" si="17"/>
        <v>255</v>
      </c>
      <c r="P27" s="44">
        <f t="shared" si="17"/>
        <v>265</v>
      </c>
    </row>
    <row r="28" spans="2:16" ht="12">
      <c r="B28" s="106"/>
      <c r="C28" s="107"/>
      <c r="D28" s="51">
        <v>5</v>
      </c>
      <c r="E28" s="52">
        <f aca="true" t="shared" si="18" ref="E28:P28">E12</f>
        <v>200</v>
      </c>
      <c r="F28" s="52">
        <f t="shared" si="18"/>
        <v>205</v>
      </c>
      <c r="G28" s="52">
        <f t="shared" si="18"/>
        <v>210</v>
      </c>
      <c r="H28" s="52">
        <f t="shared" si="18"/>
        <v>215</v>
      </c>
      <c r="I28" s="52">
        <f t="shared" si="18"/>
        <v>220</v>
      </c>
      <c r="J28" s="52">
        <f t="shared" si="18"/>
        <v>225</v>
      </c>
      <c r="K28" s="52">
        <f t="shared" si="18"/>
        <v>230</v>
      </c>
      <c r="L28" s="52">
        <f t="shared" si="18"/>
        <v>235</v>
      </c>
      <c r="M28" s="52">
        <f t="shared" si="18"/>
        <v>245</v>
      </c>
      <c r="N28" s="52">
        <f t="shared" si="18"/>
        <v>250</v>
      </c>
      <c r="O28" s="52">
        <f t="shared" si="18"/>
        <v>255</v>
      </c>
      <c r="P28" s="53">
        <f t="shared" si="18"/>
        <v>265</v>
      </c>
    </row>
    <row r="29" spans="2:16" ht="12">
      <c r="B29" s="106"/>
      <c r="C29" s="108" t="s">
        <v>12</v>
      </c>
      <c r="D29" s="40">
        <v>5</v>
      </c>
      <c r="E29" s="54">
        <f aca="true" t="shared" si="19" ref="E29:P29">ROUND(E32*(1-OHPINT*3)/(2*PLATE),0)*2*PLATE</f>
        <v>80</v>
      </c>
      <c r="F29" s="54">
        <f t="shared" si="19"/>
        <v>80</v>
      </c>
      <c r="G29" s="54">
        <f t="shared" si="19"/>
        <v>80</v>
      </c>
      <c r="H29" s="54">
        <f t="shared" si="19"/>
        <v>85</v>
      </c>
      <c r="I29" s="54">
        <f t="shared" si="19"/>
        <v>90</v>
      </c>
      <c r="J29" s="54">
        <f t="shared" si="19"/>
        <v>90</v>
      </c>
      <c r="K29" s="54">
        <f t="shared" si="19"/>
        <v>90</v>
      </c>
      <c r="L29" s="54">
        <f t="shared" si="19"/>
        <v>95</v>
      </c>
      <c r="M29" s="54">
        <f t="shared" si="19"/>
        <v>95</v>
      </c>
      <c r="N29" s="54">
        <f t="shared" si="19"/>
        <v>95</v>
      </c>
      <c r="O29" s="54">
        <f t="shared" si="19"/>
        <v>100</v>
      </c>
      <c r="P29" s="55">
        <f t="shared" si="19"/>
        <v>105</v>
      </c>
    </row>
    <row r="30" spans="2:16" ht="12">
      <c r="B30" s="106"/>
      <c r="C30" s="108"/>
      <c r="D30" s="34">
        <v>5</v>
      </c>
      <c r="E30" s="35">
        <f aca="true" t="shared" si="20" ref="E30:P30">ROUND(E32*(1-OHPINT*2)/(2*PLATE),0)*2*PLATE</f>
        <v>95</v>
      </c>
      <c r="F30" s="35">
        <f t="shared" si="20"/>
        <v>100</v>
      </c>
      <c r="G30" s="35">
        <f t="shared" si="20"/>
        <v>100</v>
      </c>
      <c r="H30" s="35">
        <f t="shared" si="20"/>
        <v>100</v>
      </c>
      <c r="I30" s="35">
        <f t="shared" si="20"/>
        <v>105</v>
      </c>
      <c r="J30" s="35">
        <f t="shared" si="20"/>
        <v>105</v>
      </c>
      <c r="K30" s="35">
        <f t="shared" si="20"/>
        <v>110</v>
      </c>
      <c r="L30" s="35">
        <f t="shared" si="20"/>
        <v>115</v>
      </c>
      <c r="M30" s="35">
        <f t="shared" si="20"/>
        <v>115</v>
      </c>
      <c r="N30" s="35">
        <f t="shared" si="20"/>
        <v>115</v>
      </c>
      <c r="O30" s="35">
        <f t="shared" si="20"/>
        <v>120</v>
      </c>
      <c r="P30" s="36">
        <f t="shared" si="20"/>
        <v>125</v>
      </c>
    </row>
    <row r="31" spans="2:16" ht="12">
      <c r="B31" s="106"/>
      <c r="C31" s="108"/>
      <c r="D31" s="34">
        <v>5</v>
      </c>
      <c r="E31" s="35">
        <f aca="true" t="shared" si="21" ref="E31:P31">ROUND(E32*(1-OHPINT)/(2*PLATE),0)*2*PLATE</f>
        <v>110</v>
      </c>
      <c r="F31" s="35">
        <f t="shared" si="21"/>
        <v>115</v>
      </c>
      <c r="G31" s="35">
        <f t="shared" si="21"/>
        <v>115</v>
      </c>
      <c r="H31" s="35">
        <f t="shared" si="21"/>
        <v>120</v>
      </c>
      <c r="I31" s="35">
        <f t="shared" si="21"/>
        <v>125</v>
      </c>
      <c r="J31" s="35">
        <f t="shared" si="21"/>
        <v>125</v>
      </c>
      <c r="K31" s="35">
        <f t="shared" si="21"/>
        <v>125</v>
      </c>
      <c r="L31" s="35">
        <f t="shared" si="21"/>
        <v>130</v>
      </c>
      <c r="M31" s="35">
        <f t="shared" si="21"/>
        <v>130</v>
      </c>
      <c r="N31" s="35">
        <f t="shared" si="21"/>
        <v>135</v>
      </c>
      <c r="O31" s="35">
        <f t="shared" si="21"/>
        <v>140</v>
      </c>
      <c r="P31" s="36">
        <f t="shared" si="21"/>
        <v>145</v>
      </c>
    </row>
    <row r="32" spans="2:16" ht="12">
      <c r="B32" s="106"/>
      <c r="C32" s="108"/>
      <c r="D32" s="37">
        <v>5</v>
      </c>
      <c r="E32" s="38">
        <f>OHP</f>
        <v>125</v>
      </c>
      <c r="F32" s="38">
        <f aca="true" t="shared" si="22" ref="F32:P32">ROUND(OHP*(1.025^E9)/(2*PLATE),0)*2*PLATE</f>
        <v>130</v>
      </c>
      <c r="G32" s="38">
        <f t="shared" si="22"/>
        <v>130</v>
      </c>
      <c r="H32" s="38">
        <f t="shared" si="22"/>
        <v>135</v>
      </c>
      <c r="I32" s="38">
        <f t="shared" si="22"/>
        <v>140</v>
      </c>
      <c r="J32" s="38">
        <f t="shared" si="22"/>
        <v>140</v>
      </c>
      <c r="K32" s="38">
        <f t="shared" si="22"/>
        <v>145</v>
      </c>
      <c r="L32" s="38">
        <f t="shared" si="22"/>
        <v>150</v>
      </c>
      <c r="M32" s="38">
        <f t="shared" si="22"/>
        <v>150</v>
      </c>
      <c r="N32" s="38">
        <f t="shared" si="22"/>
        <v>155</v>
      </c>
      <c r="O32" s="38">
        <f t="shared" si="22"/>
        <v>160</v>
      </c>
      <c r="P32" s="39">
        <f t="shared" si="22"/>
        <v>165</v>
      </c>
    </row>
    <row r="33" spans="2:16" ht="12">
      <c r="B33" s="106"/>
      <c r="C33" s="109" t="s">
        <v>13</v>
      </c>
      <c r="D33" s="34">
        <v>5</v>
      </c>
      <c r="E33" s="43">
        <f aca="true" t="shared" si="23" ref="E33:P33">ROUND(E36*(1-DLINT*3)/(2*PLATE),0)*2*PLATE</f>
        <v>205</v>
      </c>
      <c r="F33" s="43">
        <f t="shared" si="23"/>
        <v>210</v>
      </c>
      <c r="G33" s="43">
        <f t="shared" si="23"/>
        <v>215</v>
      </c>
      <c r="H33" s="43">
        <f t="shared" si="23"/>
        <v>220</v>
      </c>
      <c r="I33" s="43">
        <f t="shared" si="23"/>
        <v>225</v>
      </c>
      <c r="J33" s="43">
        <f t="shared" si="23"/>
        <v>230</v>
      </c>
      <c r="K33" s="43">
        <f t="shared" si="23"/>
        <v>235</v>
      </c>
      <c r="L33" s="43">
        <f t="shared" si="23"/>
        <v>240</v>
      </c>
      <c r="M33" s="43">
        <f t="shared" si="23"/>
        <v>245</v>
      </c>
      <c r="N33" s="43">
        <f t="shared" si="23"/>
        <v>255</v>
      </c>
      <c r="O33" s="43">
        <f t="shared" si="23"/>
        <v>260</v>
      </c>
      <c r="P33" s="44">
        <f t="shared" si="23"/>
        <v>265</v>
      </c>
    </row>
    <row r="34" spans="2:16" ht="12">
      <c r="B34" s="106"/>
      <c r="C34" s="109"/>
      <c r="D34" s="34">
        <v>5</v>
      </c>
      <c r="E34" s="43">
        <f aca="true" t="shared" si="24" ref="E34:P34">ROUND(E36*(1-DLINT*2)/(2*PLATE),0)*2*PLATE</f>
        <v>245</v>
      </c>
      <c r="F34" s="43">
        <f t="shared" si="24"/>
        <v>250</v>
      </c>
      <c r="G34" s="43">
        <f t="shared" si="24"/>
        <v>255</v>
      </c>
      <c r="H34" s="43">
        <f t="shared" si="24"/>
        <v>265</v>
      </c>
      <c r="I34" s="43">
        <f t="shared" si="24"/>
        <v>270</v>
      </c>
      <c r="J34" s="43">
        <f t="shared" si="24"/>
        <v>280</v>
      </c>
      <c r="K34" s="43">
        <f t="shared" si="24"/>
        <v>280</v>
      </c>
      <c r="L34" s="43">
        <f t="shared" si="24"/>
        <v>290</v>
      </c>
      <c r="M34" s="43">
        <f t="shared" si="24"/>
        <v>295</v>
      </c>
      <c r="N34" s="43">
        <f t="shared" si="24"/>
        <v>305</v>
      </c>
      <c r="O34" s="43">
        <f t="shared" si="24"/>
        <v>310</v>
      </c>
      <c r="P34" s="44">
        <f t="shared" si="24"/>
        <v>320</v>
      </c>
    </row>
    <row r="35" spans="2:16" ht="12">
      <c r="B35" s="106"/>
      <c r="C35" s="109"/>
      <c r="D35" s="34">
        <v>5</v>
      </c>
      <c r="E35" s="43">
        <f aca="true" t="shared" si="25" ref="E35:P35">ROUND(E36*(1-DLINT)/(2*PLATE),0)*2*PLATE</f>
        <v>285</v>
      </c>
      <c r="F35" s="43">
        <f t="shared" si="25"/>
        <v>295</v>
      </c>
      <c r="G35" s="43">
        <f t="shared" si="25"/>
        <v>300</v>
      </c>
      <c r="H35" s="43">
        <f t="shared" si="25"/>
        <v>305</v>
      </c>
      <c r="I35" s="43">
        <f t="shared" si="25"/>
        <v>315</v>
      </c>
      <c r="J35" s="43">
        <f t="shared" si="25"/>
        <v>325</v>
      </c>
      <c r="K35" s="43">
        <f t="shared" si="25"/>
        <v>330</v>
      </c>
      <c r="L35" s="43">
        <f t="shared" si="25"/>
        <v>335</v>
      </c>
      <c r="M35" s="43">
        <f t="shared" si="25"/>
        <v>345</v>
      </c>
      <c r="N35" s="43">
        <f t="shared" si="25"/>
        <v>355</v>
      </c>
      <c r="O35" s="43">
        <f t="shared" si="25"/>
        <v>365</v>
      </c>
      <c r="P35" s="44">
        <f t="shared" si="25"/>
        <v>370</v>
      </c>
    </row>
    <row r="36" spans="2:16" ht="12">
      <c r="B36" s="106"/>
      <c r="C36" s="109"/>
      <c r="D36" s="29">
        <v>5</v>
      </c>
      <c r="E36" s="56">
        <f>DL</f>
        <v>325</v>
      </c>
      <c r="F36" s="56">
        <f aca="true" t="shared" si="26" ref="F36:P36">ROUND(DL*(1.025^E9)/(2*PLATE),0)*2*PLATE</f>
        <v>335</v>
      </c>
      <c r="G36" s="56">
        <f t="shared" si="26"/>
        <v>340</v>
      </c>
      <c r="H36" s="56">
        <f t="shared" si="26"/>
        <v>350</v>
      </c>
      <c r="I36" s="56">
        <f t="shared" si="26"/>
        <v>360</v>
      </c>
      <c r="J36" s="56">
        <f t="shared" si="26"/>
        <v>370</v>
      </c>
      <c r="K36" s="56">
        <f t="shared" si="26"/>
        <v>375</v>
      </c>
      <c r="L36" s="56">
        <f t="shared" si="26"/>
        <v>385</v>
      </c>
      <c r="M36" s="56">
        <f t="shared" si="26"/>
        <v>395</v>
      </c>
      <c r="N36" s="56">
        <f t="shared" si="26"/>
        <v>405</v>
      </c>
      <c r="O36" s="56">
        <f t="shared" si="26"/>
        <v>415</v>
      </c>
      <c r="P36" s="57">
        <f t="shared" si="26"/>
        <v>425</v>
      </c>
    </row>
    <row r="37" spans="2:16" ht="12">
      <c r="B37" s="110" t="s">
        <v>39</v>
      </c>
      <c r="C37" s="107" t="s">
        <v>9</v>
      </c>
      <c r="D37" s="31">
        <v>5</v>
      </c>
      <c r="E37" s="32">
        <f aca="true" t="shared" si="27" ref="E37:P37">E10</f>
        <v>135</v>
      </c>
      <c r="F37" s="32">
        <f t="shared" si="27"/>
        <v>135</v>
      </c>
      <c r="G37" s="32">
        <f t="shared" si="27"/>
        <v>140</v>
      </c>
      <c r="H37" s="32">
        <f t="shared" si="27"/>
        <v>145</v>
      </c>
      <c r="I37" s="32">
        <f t="shared" si="27"/>
        <v>150</v>
      </c>
      <c r="J37" s="32">
        <f t="shared" si="27"/>
        <v>150</v>
      </c>
      <c r="K37" s="32">
        <f t="shared" si="27"/>
        <v>155</v>
      </c>
      <c r="L37" s="32">
        <f t="shared" si="27"/>
        <v>160</v>
      </c>
      <c r="M37" s="32">
        <f t="shared" si="27"/>
        <v>165</v>
      </c>
      <c r="N37" s="32">
        <f t="shared" si="27"/>
        <v>165</v>
      </c>
      <c r="O37" s="32">
        <f t="shared" si="27"/>
        <v>170</v>
      </c>
      <c r="P37" s="33">
        <f t="shared" si="27"/>
        <v>175</v>
      </c>
    </row>
    <row r="38" spans="2:16" ht="12">
      <c r="B38" s="110"/>
      <c r="C38" s="107"/>
      <c r="D38" s="34">
        <v>5</v>
      </c>
      <c r="E38" s="35">
        <f aca="true" t="shared" si="28" ref="E38:P38">E11</f>
        <v>165</v>
      </c>
      <c r="F38" s="35">
        <f t="shared" si="28"/>
        <v>170</v>
      </c>
      <c r="G38" s="35">
        <f t="shared" si="28"/>
        <v>175</v>
      </c>
      <c r="H38" s="35">
        <f t="shared" si="28"/>
        <v>180</v>
      </c>
      <c r="I38" s="35">
        <f t="shared" si="28"/>
        <v>185</v>
      </c>
      <c r="J38" s="35">
        <f t="shared" si="28"/>
        <v>190</v>
      </c>
      <c r="K38" s="35">
        <f t="shared" si="28"/>
        <v>190</v>
      </c>
      <c r="L38" s="35">
        <f t="shared" si="28"/>
        <v>195</v>
      </c>
      <c r="M38" s="35">
        <f t="shared" si="28"/>
        <v>205</v>
      </c>
      <c r="N38" s="35">
        <f t="shared" si="28"/>
        <v>205</v>
      </c>
      <c r="O38" s="35">
        <f t="shared" si="28"/>
        <v>215</v>
      </c>
      <c r="P38" s="36">
        <f t="shared" si="28"/>
        <v>220</v>
      </c>
    </row>
    <row r="39" spans="2:16" ht="12">
      <c r="B39" s="110"/>
      <c r="C39" s="107"/>
      <c r="D39" s="34">
        <v>5</v>
      </c>
      <c r="E39" s="35">
        <f aca="true" t="shared" si="29" ref="E39:P39">E12</f>
        <v>200</v>
      </c>
      <c r="F39" s="35">
        <f t="shared" si="29"/>
        <v>205</v>
      </c>
      <c r="G39" s="35">
        <f t="shared" si="29"/>
        <v>210</v>
      </c>
      <c r="H39" s="35">
        <f t="shared" si="29"/>
        <v>215</v>
      </c>
      <c r="I39" s="35">
        <f t="shared" si="29"/>
        <v>220</v>
      </c>
      <c r="J39" s="35">
        <f t="shared" si="29"/>
        <v>225</v>
      </c>
      <c r="K39" s="35">
        <f t="shared" si="29"/>
        <v>230</v>
      </c>
      <c r="L39" s="35">
        <f t="shared" si="29"/>
        <v>235</v>
      </c>
      <c r="M39" s="35">
        <f t="shared" si="29"/>
        <v>245</v>
      </c>
      <c r="N39" s="35">
        <f t="shared" si="29"/>
        <v>250</v>
      </c>
      <c r="O39" s="35">
        <f t="shared" si="29"/>
        <v>255</v>
      </c>
      <c r="P39" s="36">
        <f t="shared" si="29"/>
        <v>265</v>
      </c>
    </row>
    <row r="40" spans="2:16" ht="12">
      <c r="B40" s="110"/>
      <c r="C40" s="107"/>
      <c r="D40" s="34">
        <v>5</v>
      </c>
      <c r="E40" s="35">
        <f aca="true" t="shared" si="30" ref="E40:P40">E13</f>
        <v>230</v>
      </c>
      <c r="F40" s="35">
        <f t="shared" si="30"/>
        <v>235</v>
      </c>
      <c r="G40" s="35">
        <f t="shared" si="30"/>
        <v>245</v>
      </c>
      <c r="H40" s="35">
        <f t="shared" si="30"/>
        <v>250</v>
      </c>
      <c r="I40" s="35">
        <f t="shared" si="30"/>
        <v>260</v>
      </c>
      <c r="J40" s="35">
        <f t="shared" si="30"/>
        <v>265</v>
      </c>
      <c r="K40" s="35">
        <f t="shared" si="30"/>
        <v>265</v>
      </c>
      <c r="L40" s="35">
        <f t="shared" si="30"/>
        <v>275</v>
      </c>
      <c r="M40" s="35">
        <f t="shared" si="30"/>
        <v>285</v>
      </c>
      <c r="N40" s="35">
        <f t="shared" si="30"/>
        <v>290</v>
      </c>
      <c r="O40" s="35">
        <f t="shared" si="30"/>
        <v>300</v>
      </c>
      <c r="P40" s="36">
        <f t="shared" si="30"/>
        <v>305</v>
      </c>
    </row>
    <row r="41" spans="2:16" ht="12">
      <c r="B41" s="110"/>
      <c r="C41" s="107"/>
      <c r="D41" s="58">
        <v>3</v>
      </c>
      <c r="E41" s="59">
        <f aca="true" t="shared" si="31" ref="E41:P41">ROUND(SQ*(1.025^E9)/(2*PLATE),0)*2*PLATE</f>
        <v>270</v>
      </c>
      <c r="F41" s="59">
        <f t="shared" si="31"/>
        <v>280</v>
      </c>
      <c r="G41" s="59">
        <f t="shared" si="31"/>
        <v>285</v>
      </c>
      <c r="H41" s="59">
        <f t="shared" si="31"/>
        <v>295</v>
      </c>
      <c r="I41" s="59">
        <f t="shared" si="31"/>
        <v>300</v>
      </c>
      <c r="J41" s="59">
        <f t="shared" si="31"/>
        <v>305</v>
      </c>
      <c r="K41" s="59">
        <f t="shared" si="31"/>
        <v>315</v>
      </c>
      <c r="L41" s="59">
        <f t="shared" si="31"/>
        <v>325</v>
      </c>
      <c r="M41" s="59">
        <f t="shared" si="31"/>
        <v>330</v>
      </c>
      <c r="N41" s="59">
        <f t="shared" si="31"/>
        <v>340</v>
      </c>
      <c r="O41" s="59">
        <f t="shared" si="31"/>
        <v>350</v>
      </c>
      <c r="P41" s="60">
        <f t="shared" si="31"/>
        <v>355</v>
      </c>
    </row>
    <row r="42" spans="2:16" ht="12">
      <c r="B42" s="110"/>
      <c r="C42" s="107"/>
      <c r="D42" s="51">
        <v>8</v>
      </c>
      <c r="E42" s="61">
        <f aca="true" t="shared" si="32" ref="E42:P42">E12</f>
        <v>200</v>
      </c>
      <c r="F42" s="61">
        <f t="shared" si="32"/>
        <v>205</v>
      </c>
      <c r="G42" s="61">
        <f t="shared" si="32"/>
        <v>210</v>
      </c>
      <c r="H42" s="61">
        <f t="shared" si="32"/>
        <v>215</v>
      </c>
      <c r="I42" s="61">
        <f t="shared" si="32"/>
        <v>220</v>
      </c>
      <c r="J42" s="61">
        <f t="shared" si="32"/>
        <v>225</v>
      </c>
      <c r="K42" s="61">
        <f t="shared" si="32"/>
        <v>230</v>
      </c>
      <c r="L42" s="61">
        <f t="shared" si="32"/>
        <v>235</v>
      </c>
      <c r="M42" s="61">
        <f t="shared" si="32"/>
        <v>245</v>
      </c>
      <c r="N42" s="61">
        <f t="shared" si="32"/>
        <v>250</v>
      </c>
      <c r="O42" s="61">
        <f t="shared" si="32"/>
        <v>255</v>
      </c>
      <c r="P42" s="62">
        <f t="shared" si="32"/>
        <v>265</v>
      </c>
    </row>
    <row r="43" spans="2:16" ht="12">
      <c r="B43" s="110"/>
      <c r="C43" s="108" t="s">
        <v>10</v>
      </c>
      <c r="D43" s="40">
        <v>5</v>
      </c>
      <c r="E43" s="41">
        <f aca="true" t="shared" si="33" ref="E43:P43">E15</f>
        <v>95</v>
      </c>
      <c r="F43" s="41">
        <f t="shared" si="33"/>
        <v>95</v>
      </c>
      <c r="G43" s="41">
        <f t="shared" si="33"/>
        <v>100</v>
      </c>
      <c r="H43" s="41">
        <f t="shared" si="33"/>
        <v>100</v>
      </c>
      <c r="I43" s="41">
        <f t="shared" si="33"/>
        <v>105</v>
      </c>
      <c r="J43" s="41">
        <f t="shared" si="33"/>
        <v>105</v>
      </c>
      <c r="K43" s="41">
        <f t="shared" si="33"/>
        <v>110</v>
      </c>
      <c r="L43" s="41">
        <f t="shared" si="33"/>
        <v>110</v>
      </c>
      <c r="M43" s="41">
        <f t="shared" si="33"/>
        <v>115</v>
      </c>
      <c r="N43" s="41">
        <f t="shared" si="33"/>
        <v>115</v>
      </c>
      <c r="O43" s="41">
        <f t="shared" si="33"/>
        <v>120</v>
      </c>
      <c r="P43" s="42">
        <f t="shared" si="33"/>
        <v>125</v>
      </c>
    </row>
    <row r="44" spans="2:16" ht="12">
      <c r="B44" s="110"/>
      <c r="C44" s="108"/>
      <c r="D44" s="34">
        <v>5</v>
      </c>
      <c r="E44" s="43">
        <f aca="true" t="shared" si="34" ref="E44:P44">E16</f>
        <v>115</v>
      </c>
      <c r="F44" s="43">
        <f t="shared" si="34"/>
        <v>120</v>
      </c>
      <c r="G44" s="43">
        <f t="shared" si="34"/>
        <v>120</v>
      </c>
      <c r="H44" s="43">
        <f t="shared" si="34"/>
        <v>125</v>
      </c>
      <c r="I44" s="43">
        <f t="shared" si="34"/>
        <v>130</v>
      </c>
      <c r="J44" s="43">
        <f t="shared" si="34"/>
        <v>130</v>
      </c>
      <c r="K44" s="43">
        <f t="shared" si="34"/>
        <v>135</v>
      </c>
      <c r="L44" s="43">
        <f t="shared" si="34"/>
        <v>140</v>
      </c>
      <c r="M44" s="43">
        <f t="shared" si="34"/>
        <v>140</v>
      </c>
      <c r="N44" s="43">
        <f t="shared" si="34"/>
        <v>145</v>
      </c>
      <c r="O44" s="43">
        <f t="shared" si="34"/>
        <v>145</v>
      </c>
      <c r="P44" s="44">
        <f t="shared" si="34"/>
        <v>155</v>
      </c>
    </row>
    <row r="45" spans="2:16" ht="12">
      <c r="B45" s="110"/>
      <c r="C45" s="108"/>
      <c r="D45" s="34">
        <v>5</v>
      </c>
      <c r="E45" s="43">
        <f aca="true" t="shared" si="35" ref="E45:P45">E17</f>
        <v>140</v>
      </c>
      <c r="F45" s="43">
        <f t="shared" si="35"/>
        <v>145</v>
      </c>
      <c r="G45" s="43">
        <f t="shared" si="35"/>
        <v>145</v>
      </c>
      <c r="H45" s="43">
        <f t="shared" si="35"/>
        <v>150</v>
      </c>
      <c r="I45" s="43">
        <f t="shared" si="35"/>
        <v>155</v>
      </c>
      <c r="J45" s="43">
        <f t="shared" si="35"/>
        <v>160</v>
      </c>
      <c r="K45" s="43">
        <f t="shared" si="35"/>
        <v>160</v>
      </c>
      <c r="L45" s="43">
        <f t="shared" si="35"/>
        <v>165</v>
      </c>
      <c r="M45" s="43">
        <f t="shared" si="35"/>
        <v>170</v>
      </c>
      <c r="N45" s="43">
        <f t="shared" si="35"/>
        <v>175</v>
      </c>
      <c r="O45" s="43">
        <f t="shared" si="35"/>
        <v>175</v>
      </c>
      <c r="P45" s="44">
        <f t="shared" si="35"/>
        <v>185</v>
      </c>
    </row>
    <row r="46" spans="2:16" ht="12">
      <c r="B46" s="110"/>
      <c r="C46" s="108"/>
      <c r="D46" s="34">
        <v>5</v>
      </c>
      <c r="E46" s="43">
        <f aca="true" t="shared" si="36" ref="E46:P46">E18</f>
        <v>160</v>
      </c>
      <c r="F46" s="43">
        <f t="shared" si="36"/>
        <v>165</v>
      </c>
      <c r="G46" s="43">
        <f t="shared" si="36"/>
        <v>170</v>
      </c>
      <c r="H46" s="43">
        <f t="shared" si="36"/>
        <v>175</v>
      </c>
      <c r="I46" s="43">
        <f t="shared" si="36"/>
        <v>180</v>
      </c>
      <c r="J46" s="43">
        <f t="shared" si="36"/>
        <v>185</v>
      </c>
      <c r="K46" s="43">
        <f t="shared" si="36"/>
        <v>190</v>
      </c>
      <c r="L46" s="43">
        <f t="shared" si="36"/>
        <v>195</v>
      </c>
      <c r="M46" s="43">
        <f t="shared" si="36"/>
        <v>195</v>
      </c>
      <c r="N46" s="43">
        <f t="shared" si="36"/>
        <v>200</v>
      </c>
      <c r="O46" s="43">
        <f t="shared" si="36"/>
        <v>205</v>
      </c>
      <c r="P46" s="44">
        <f t="shared" si="36"/>
        <v>215</v>
      </c>
    </row>
    <row r="47" spans="2:16" ht="12">
      <c r="B47" s="110"/>
      <c r="C47" s="108"/>
      <c r="D47" s="58">
        <v>3</v>
      </c>
      <c r="E47" s="63">
        <f aca="true" t="shared" si="37" ref="E47:P47">ROUND(BP*(1.025^E9)/(2*PLATE),0)*2*PLATE</f>
        <v>190</v>
      </c>
      <c r="F47" s="63">
        <f t="shared" si="37"/>
        <v>195</v>
      </c>
      <c r="G47" s="63">
        <f t="shared" si="37"/>
        <v>200</v>
      </c>
      <c r="H47" s="63">
        <f t="shared" si="37"/>
        <v>205</v>
      </c>
      <c r="I47" s="63">
        <f t="shared" si="37"/>
        <v>210</v>
      </c>
      <c r="J47" s="63">
        <f t="shared" si="37"/>
        <v>215</v>
      </c>
      <c r="K47" s="63">
        <f t="shared" si="37"/>
        <v>220</v>
      </c>
      <c r="L47" s="63">
        <f t="shared" si="37"/>
        <v>225</v>
      </c>
      <c r="M47" s="63">
        <f t="shared" si="37"/>
        <v>230</v>
      </c>
      <c r="N47" s="63">
        <f t="shared" si="37"/>
        <v>235</v>
      </c>
      <c r="O47" s="63">
        <f t="shared" si="37"/>
        <v>245</v>
      </c>
      <c r="P47" s="64">
        <f t="shared" si="37"/>
        <v>250</v>
      </c>
    </row>
    <row r="48" spans="2:16" ht="12">
      <c r="B48" s="110"/>
      <c r="C48" s="108"/>
      <c r="D48" s="51">
        <v>8</v>
      </c>
      <c r="E48" s="52">
        <f aca="true" t="shared" si="38" ref="E48:P48">E17</f>
        <v>140</v>
      </c>
      <c r="F48" s="52">
        <f t="shared" si="38"/>
        <v>145</v>
      </c>
      <c r="G48" s="52">
        <f t="shared" si="38"/>
        <v>145</v>
      </c>
      <c r="H48" s="52">
        <f t="shared" si="38"/>
        <v>150</v>
      </c>
      <c r="I48" s="52">
        <f t="shared" si="38"/>
        <v>155</v>
      </c>
      <c r="J48" s="52">
        <f t="shared" si="38"/>
        <v>160</v>
      </c>
      <c r="K48" s="52">
        <f t="shared" si="38"/>
        <v>160</v>
      </c>
      <c r="L48" s="52">
        <f t="shared" si="38"/>
        <v>165</v>
      </c>
      <c r="M48" s="52">
        <f t="shared" si="38"/>
        <v>170</v>
      </c>
      <c r="N48" s="52">
        <f t="shared" si="38"/>
        <v>175</v>
      </c>
      <c r="O48" s="52">
        <f t="shared" si="38"/>
        <v>175</v>
      </c>
      <c r="P48" s="53">
        <f t="shared" si="38"/>
        <v>185</v>
      </c>
    </row>
    <row r="49" spans="2:16" ht="12">
      <c r="B49" s="110"/>
      <c r="C49" s="109" t="s">
        <v>11</v>
      </c>
      <c r="D49" s="34">
        <v>5</v>
      </c>
      <c r="E49" s="35">
        <f aca="true" t="shared" si="39" ref="E49:P49">E20</f>
        <v>85</v>
      </c>
      <c r="F49" s="35">
        <f t="shared" si="39"/>
        <v>90</v>
      </c>
      <c r="G49" s="35">
        <f t="shared" si="39"/>
        <v>90</v>
      </c>
      <c r="H49" s="35">
        <f t="shared" si="39"/>
        <v>95</v>
      </c>
      <c r="I49" s="35">
        <f t="shared" si="39"/>
        <v>95</v>
      </c>
      <c r="J49" s="35">
        <f t="shared" si="39"/>
        <v>95</v>
      </c>
      <c r="K49" s="35">
        <f t="shared" si="39"/>
        <v>100</v>
      </c>
      <c r="L49" s="35">
        <f t="shared" si="39"/>
        <v>100</v>
      </c>
      <c r="M49" s="35">
        <f t="shared" si="39"/>
        <v>105</v>
      </c>
      <c r="N49" s="35">
        <f t="shared" si="39"/>
        <v>105</v>
      </c>
      <c r="O49" s="35">
        <f t="shared" si="39"/>
        <v>110</v>
      </c>
      <c r="P49" s="36">
        <f t="shared" si="39"/>
        <v>115</v>
      </c>
    </row>
    <row r="50" spans="2:16" ht="12">
      <c r="B50" s="110"/>
      <c r="C50" s="109"/>
      <c r="D50" s="34">
        <v>5</v>
      </c>
      <c r="E50" s="35">
        <f aca="true" t="shared" si="40" ref="E50:P50">E21</f>
        <v>105</v>
      </c>
      <c r="F50" s="35">
        <f t="shared" si="40"/>
        <v>110</v>
      </c>
      <c r="G50" s="35">
        <f t="shared" si="40"/>
        <v>115</v>
      </c>
      <c r="H50" s="35">
        <f t="shared" si="40"/>
        <v>115</v>
      </c>
      <c r="I50" s="35">
        <f t="shared" si="40"/>
        <v>120</v>
      </c>
      <c r="J50" s="35">
        <f t="shared" si="40"/>
        <v>120</v>
      </c>
      <c r="K50" s="35">
        <f t="shared" si="40"/>
        <v>120</v>
      </c>
      <c r="L50" s="35">
        <f t="shared" si="40"/>
        <v>125</v>
      </c>
      <c r="M50" s="35">
        <f t="shared" si="40"/>
        <v>130</v>
      </c>
      <c r="N50" s="35">
        <f t="shared" si="40"/>
        <v>130</v>
      </c>
      <c r="O50" s="35">
        <f t="shared" si="40"/>
        <v>140</v>
      </c>
      <c r="P50" s="36">
        <f t="shared" si="40"/>
        <v>140</v>
      </c>
    </row>
    <row r="51" spans="2:16" ht="12">
      <c r="B51" s="110"/>
      <c r="C51" s="109"/>
      <c r="D51" s="34">
        <v>5</v>
      </c>
      <c r="E51" s="35">
        <f aca="true" t="shared" si="41" ref="E51:P51">E22</f>
        <v>130</v>
      </c>
      <c r="F51" s="35">
        <f t="shared" si="41"/>
        <v>130</v>
      </c>
      <c r="G51" s="35">
        <f t="shared" si="41"/>
        <v>135</v>
      </c>
      <c r="H51" s="35">
        <f t="shared" si="41"/>
        <v>140</v>
      </c>
      <c r="I51" s="35">
        <f t="shared" si="41"/>
        <v>145</v>
      </c>
      <c r="J51" s="35">
        <f t="shared" si="41"/>
        <v>145</v>
      </c>
      <c r="K51" s="35">
        <f t="shared" si="41"/>
        <v>145</v>
      </c>
      <c r="L51" s="35">
        <f t="shared" si="41"/>
        <v>150</v>
      </c>
      <c r="M51" s="35">
        <f t="shared" si="41"/>
        <v>155</v>
      </c>
      <c r="N51" s="35">
        <f t="shared" si="41"/>
        <v>160</v>
      </c>
      <c r="O51" s="35">
        <f t="shared" si="41"/>
        <v>165</v>
      </c>
      <c r="P51" s="36">
        <f t="shared" si="41"/>
        <v>170</v>
      </c>
    </row>
    <row r="52" spans="2:16" ht="12">
      <c r="B52" s="110"/>
      <c r="C52" s="109"/>
      <c r="D52" s="34">
        <v>5</v>
      </c>
      <c r="E52" s="35">
        <f aca="true" t="shared" si="42" ref="E52:P52">E23</f>
        <v>150</v>
      </c>
      <c r="F52" s="35">
        <f t="shared" si="42"/>
        <v>155</v>
      </c>
      <c r="G52" s="35">
        <f t="shared" si="42"/>
        <v>160</v>
      </c>
      <c r="H52" s="35">
        <f t="shared" si="42"/>
        <v>160</v>
      </c>
      <c r="I52" s="35">
        <f t="shared" si="42"/>
        <v>165</v>
      </c>
      <c r="J52" s="35">
        <f t="shared" si="42"/>
        <v>165</v>
      </c>
      <c r="K52" s="35">
        <f t="shared" si="42"/>
        <v>170</v>
      </c>
      <c r="L52" s="35">
        <f t="shared" si="42"/>
        <v>175</v>
      </c>
      <c r="M52" s="35">
        <f t="shared" si="42"/>
        <v>180</v>
      </c>
      <c r="N52" s="35">
        <f t="shared" si="42"/>
        <v>185</v>
      </c>
      <c r="O52" s="35">
        <f t="shared" si="42"/>
        <v>195</v>
      </c>
      <c r="P52" s="36">
        <f t="shared" si="42"/>
        <v>195</v>
      </c>
    </row>
    <row r="53" spans="2:16" ht="12">
      <c r="B53" s="110"/>
      <c r="C53" s="109"/>
      <c r="D53" s="58">
        <v>3</v>
      </c>
      <c r="E53" s="59">
        <f aca="true" t="shared" si="43" ref="E53:P53">ROUND(BBR*(1.025^E9)/(2*PLATE),0)*2*PLATE</f>
        <v>175</v>
      </c>
      <c r="F53" s="59">
        <f t="shared" si="43"/>
        <v>180</v>
      </c>
      <c r="G53" s="59">
        <f t="shared" si="43"/>
        <v>185</v>
      </c>
      <c r="H53" s="59">
        <f t="shared" si="43"/>
        <v>190</v>
      </c>
      <c r="I53" s="59">
        <f t="shared" si="43"/>
        <v>190</v>
      </c>
      <c r="J53" s="59">
        <f t="shared" si="43"/>
        <v>195</v>
      </c>
      <c r="K53" s="59">
        <f t="shared" si="43"/>
        <v>200</v>
      </c>
      <c r="L53" s="59">
        <f t="shared" si="43"/>
        <v>205</v>
      </c>
      <c r="M53" s="59">
        <f t="shared" si="43"/>
        <v>210</v>
      </c>
      <c r="N53" s="59">
        <f t="shared" si="43"/>
        <v>220</v>
      </c>
      <c r="O53" s="59">
        <f t="shared" si="43"/>
        <v>225</v>
      </c>
      <c r="P53" s="60">
        <f t="shared" si="43"/>
        <v>230</v>
      </c>
    </row>
    <row r="54" spans="2:16" ht="12">
      <c r="B54" s="110"/>
      <c r="C54" s="109"/>
      <c r="D54" s="65">
        <v>8</v>
      </c>
      <c r="E54" s="66">
        <f aca="true" t="shared" si="44" ref="E54:P54">E22</f>
        <v>130</v>
      </c>
      <c r="F54" s="66">
        <f t="shared" si="44"/>
        <v>130</v>
      </c>
      <c r="G54" s="66">
        <f t="shared" si="44"/>
        <v>135</v>
      </c>
      <c r="H54" s="66">
        <f t="shared" si="44"/>
        <v>140</v>
      </c>
      <c r="I54" s="66">
        <f t="shared" si="44"/>
        <v>145</v>
      </c>
      <c r="J54" s="66">
        <f t="shared" si="44"/>
        <v>145</v>
      </c>
      <c r="K54" s="66">
        <f t="shared" si="44"/>
        <v>145</v>
      </c>
      <c r="L54" s="66">
        <f t="shared" si="44"/>
        <v>150</v>
      </c>
      <c r="M54" s="66">
        <f t="shared" si="44"/>
        <v>155</v>
      </c>
      <c r="N54" s="66">
        <f t="shared" si="44"/>
        <v>160</v>
      </c>
      <c r="O54" s="66">
        <f t="shared" si="44"/>
        <v>165</v>
      </c>
      <c r="P54" s="67">
        <f t="shared" si="44"/>
        <v>170</v>
      </c>
    </row>
    <row r="55" spans="2:16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60" ht="12">
      <c r="B60" s="25" t="s">
        <v>31</v>
      </c>
    </row>
    <row r="61" ht="12">
      <c r="B61" t="s">
        <v>32</v>
      </c>
    </row>
    <row r="63" ht="12">
      <c r="B63" s="26" t="s">
        <v>33</v>
      </c>
    </row>
  </sheetData>
  <sheetProtection selectLockedCells="1" selectUnlockedCells="1"/>
  <mergeCells count="13">
    <mergeCell ref="B37:B54"/>
    <mergeCell ref="C37:C42"/>
    <mergeCell ref="C43:C48"/>
    <mergeCell ref="C49:C54"/>
    <mergeCell ref="E8:P8"/>
    <mergeCell ref="B10:B24"/>
    <mergeCell ref="C10:C14"/>
    <mergeCell ref="C15:C19"/>
    <mergeCell ref="C20:C24"/>
    <mergeCell ref="B25:B36"/>
    <mergeCell ref="C25:C28"/>
    <mergeCell ref="C29:C32"/>
    <mergeCell ref="C33:C36"/>
  </mergeCells>
  <hyperlinks>
    <hyperlink ref="B63" r:id="rId1" display="http://stronglifts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"/>
  <sheetViews>
    <sheetView workbookViewId="0" topLeftCell="A1">
      <selection activeCell="B6" sqref="B6"/>
    </sheetView>
  </sheetViews>
  <sheetFormatPr defaultColWidth="11.57421875" defaultRowHeight="12.75"/>
  <cols>
    <col min="1" max="1" width="4.140625" style="0" customWidth="1"/>
    <col min="2" max="16384" width="11.421875" style="0" customWidth="1"/>
  </cols>
  <sheetData>
    <row r="1" spans="1:255" ht="16.5">
      <c r="A1" s="1"/>
      <c r="C1" s="1"/>
      <c r="E1" s="1"/>
      <c r="G1" s="1"/>
      <c r="I1" s="1"/>
      <c r="K1" s="1"/>
      <c r="M1" s="1"/>
      <c r="O1" s="1"/>
      <c r="Q1" s="1"/>
      <c r="S1" s="1"/>
      <c r="U1" s="1"/>
      <c r="W1" s="1"/>
      <c r="Y1" s="1"/>
      <c r="AA1" s="1"/>
      <c r="AC1" s="1"/>
      <c r="AE1" s="1"/>
      <c r="AG1" s="1"/>
      <c r="AI1" s="1"/>
      <c r="AK1" s="1"/>
      <c r="AM1" s="1"/>
      <c r="AO1" s="1"/>
      <c r="AQ1" s="1"/>
      <c r="AS1" s="1"/>
      <c r="AU1" s="1"/>
      <c r="AW1" s="1"/>
      <c r="AY1" s="1"/>
      <c r="BA1" s="1"/>
      <c r="BC1" s="1"/>
      <c r="BE1" s="1"/>
      <c r="BG1" s="1"/>
      <c r="BI1" s="1"/>
      <c r="BK1" s="1"/>
      <c r="BM1" s="1"/>
      <c r="BO1" s="1"/>
      <c r="BQ1" s="1"/>
      <c r="BS1" s="1"/>
      <c r="BU1" s="1"/>
      <c r="BW1" s="1"/>
      <c r="BY1" s="1"/>
      <c r="CA1" s="1"/>
      <c r="CC1" s="1"/>
      <c r="CE1" s="1"/>
      <c r="CG1" s="1"/>
      <c r="CI1" s="1"/>
      <c r="CK1" s="1"/>
      <c r="CM1" s="1"/>
      <c r="CO1" s="1"/>
      <c r="CQ1" s="1"/>
      <c r="CS1" s="1"/>
      <c r="CU1" s="1"/>
      <c r="CW1" s="1"/>
      <c r="CY1" s="1"/>
      <c r="DA1" s="1"/>
      <c r="DC1" s="1"/>
      <c r="DE1" s="1"/>
      <c r="DG1" s="1"/>
      <c r="DI1" s="1"/>
      <c r="DK1" s="1"/>
      <c r="DM1" s="1"/>
      <c r="DO1" s="1"/>
      <c r="DQ1" s="1"/>
      <c r="DS1" s="1"/>
      <c r="DU1" s="1"/>
      <c r="DW1" s="1"/>
      <c r="DY1" s="1"/>
      <c r="EA1" s="1"/>
      <c r="EC1" s="1"/>
      <c r="EE1" s="1"/>
      <c r="EG1" s="1"/>
      <c r="EI1" s="1"/>
      <c r="EK1" s="1"/>
      <c r="EM1" s="1"/>
      <c r="EO1" s="1"/>
      <c r="EQ1" s="1"/>
      <c r="ES1" s="1"/>
      <c r="EU1" s="1"/>
      <c r="EW1" s="1"/>
      <c r="EY1" s="1"/>
      <c r="FA1" s="1"/>
      <c r="FC1" s="1"/>
      <c r="FE1" s="1"/>
      <c r="FG1" s="1"/>
      <c r="FI1" s="1"/>
      <c r="FK1" s="1"/>
      <c r="FM1" s="1"/>
      <c r="FO1" s="1"/>
      <c r="FQ1" s="1"/>
      <c r="FS1" s="1"/>
      <c r="FU1" s="1"/>
      <c r="FW1" s="1"/>
      <c r="FY1" s="1"/>
      <c r="GA1" s="1"/>
      <c r="GC1" s="1"/>
      <c r="GE1" s="1"/>
      <c r="GG1" s="1"/>
      <c r="GI1" s="1"/>
      <c r="GK1" s="1"/>
      <c r="GM1" s="1"/>
      <c r="GO1" s="1"/>
      <c r="GQ1" s="1"/>
      <c r="GS1" s="1"/>
      <c r="GU1" s="1"/>
      <c r="GW1" s="1"/>
      <c r="GY1" s="1"/>
      <c r="HA1" s="1"/>
      <c r="HC1" s="1"/>
      <c r="HE1" s="1"/>
      <c r="HG1" s="1"/>
      <c r="HI1" s="1"/>
      <c r="HK1" s="1"/>
      <c r="HM1" s="1"/>
      <c r="HO1" s="1"/>
      <c r="HQ1" s="1"/>
      <c r="HS1" s="1"/>
      <c r="HU1" s="1"/>
      <c r="HW1" s="1"/>
      <c r="HY1" s="1"/>
      <c r="IA1" s="1"/>
      <c r="IC1" s="1"/>
      <c r="IE1" s="1"/>
      <c r="IG1" s="1"/>
      <c r="II1" s="1"/>
      <c r="IK1" s="1"/>
      <c r="IM1" s="1"/>
      <c r="IO1" s="1"/>
      <c r="IQ1" s="1"/>
      <c r="IS1" s="1"/>
      <c r="IU1" s="1"/>
    </row>
    <row r="2" spans="1:255" ht="16.5">
      <c r="A2" s="1"/>
      <c r="C2" s="1"/>
      <c r="E2" s="1"/>
      <c r="G2" s="1"/>
      <c r="I2" s="1"/>
      <c r="K2" s="1"/>
      <c r="M2" s="1"/>
      <c r="O2" s="1"/>
      <c r="Q2" s="1"/>
      <c r="S2" s="1"/>
      <c r="U2" s="1"/>
      <c r="W2" s="1"/>
      <c r="Y2" s="1"/>
      <c r="AA2" s="1"/>
      <c r="AC2" s="1"/>
      <c r="AE2" s="1"/>
      <c r="AG2" s="1"/>
      <c r="AI2" s="1"/>
      <c r="AK2" s="1"/>
      <c r="AM2" s="1"/>
      <c r="AO2" s="1"/>
      <c r="AQ2" s="1"/>
      <c r="AS2" s="1"/>
      <c r="AU2" s="1"/>
      <c r="AW2" s="1"/>
      <c r="AY2" s="1"/>
      <c r="BA2" s="1"/>
      <c r="BC2" s="1"/>
      <c r="BE2" s="1"/>
      <c r="BG2" s="1"/>
      <c r="BI2" s="1"/>
      <c r="BK2" s="1"/>
      <c r="BM2" s="1"/>
      <c r="BO2" s="1"/>
      <c r="BQ2" s="1"/>
      <c r="BS2" s="1"/>
      <c r="BU2" s="1"/>
      <c r="BW2" s="1"/>
      <c r="BY2" s="1"/>
      <c r="CA2" s="1"/>
      <c r="CC2" s="1"/>
      <c r="CE2" s="1"/>
      <c r="CG2" s="1"/>
      <c r="CI2" s="1"/>
      <c r="CK2" s="1"/>
      <c r="CM2" s="1"/>
      <c r="CO2" s="1"/>
      <c r="CQ2" s="1"/>
      <c r="CS2" s="1"/>
      <c r="CU2" s="1"/>
      <c r="CW2" s="1"/>
      <c r="CY2" s="1"/>
      <c r="DA2" s="1"/>
      <c r="DC2" s="1"/>
      <c r="DE2" s="1"/>
      <c r="DG2" s="1"/>
      <c r="DI2" s="1"/>
      <c r="DK2" s="1"/>
      <c r="DM2" s="1"/>
      <c r="DO2" s="1"/>
      <c r="DQ2" s="1"/>
      <c r="DS2" s="1"/>
      <c r="DU2" s="1"/>
      <c r="DW2" s="1"/>
      <c r="DY2" s="1"/>
      <c r="EA2" s="1"/>
      <c r="EC2" s="1"/>
      <c r="EE2" s="1"/>
      <c r="EG2" s="1"/>
      <c r="EI2" s="1"/>
      <c r="EK2" s="1"/>
      <c r="EM2" s="1"/>
      <c r="EO2" s="1"/>
      <c r="EQ2" s="1"/>
      <c r="ES2" s="1"/>
      <c r="EU2" s="1"/>
      <c r="EW2" s="1"/>
      <c r="EY2" s="1"/>
      <c r="FA2" s="1"/>
      <c r="FC2" s="1"/>
      <c r="FE2" s="1"/>
      <c r="FG2" s="1"/>
      <c r="FI2" s="1"/>
      <c r="FK2" s="1"/>
      <c r="FM2" s="1"/>
      <c r="FO2" s="1"/>
      <c r="FQ2" s="1"/>
      <c r="FS2" s="1"/>
      <c r="FU2" s="1"/>
      <c r="FW2" s="1"/>
      <c r="FY2" s="1"/>
      <c r="GA2" s="1"/>
      <c r="GC2" s="1"/>
      <c r="GE2" s="1"/>
      <c r="GG2" s="1"/>
      <c r="GI2" s="1"/>
      <c r="GK2" s="1"/>
      <c r="GM2" s="1"/>
      <c r="GO2" s="1"/>
      <c r="GQ2" s="1"/>
      <c r="GS2" s="1"/>
      <c r="GU2" s="1"/>
      <c r="GW2" s="1"/>
      <c r="GY2" s="1"/>
      <c r="HA2" s="1"/>
      <c r="HC2" s="1"/>
      <c r="HE2" s="1"/>
      <c r="HG2" s="1"/>
      <c r="HI2" s="1"/>
      <c r="HK2" s="1"/>
      <c r="HM2" s="1"/>
      <c r="HO2" s="1"/>
      <c r="HQ2" s="1"/>
      <c r="HS2" s="1"/>
      <c r="HU2" s="1"/>
      <c r="HW2" s="1"/>
      <c r="HY2" s="1"/>
      <c r="IA2" s="1"/>
      <c r="IC2" s="1"/>
      <c r="IE2" s="1"/>
      <c r="IG2" s="1"/>
      <c r="II2" s="1"/>
      <c r="IK2" s="1"/>
      <c r="IM2" s="1"/>
      <c r="IO2" s="1"/>
      <c r="IQ2" s="1"/>
      <c r="IS2" s="1"/>
      <c r="IU2" s="1"/>
    </row>
    <row r="3" spans="1:255" ht="16.5">
      <c r="A3" s="1"/>
      <c r="C3" s="1"/>
      <c r="E3" s="1"/>
      <c r="G3" s="1"/>
      <c r="I3" s="1"/>
      <c r="K3" s="1"/>
      <c r="M3" s="1"/>
      <c r="O3" s="1"/>
      <c r="Q3" s="1"/>
      <c r="S3" s="1"/>
      <c r="U3" s="1"/>
      <c r="W3" s="1"/>
      <c r="Y3" s="1"/>
      <c r="AA3" s="1"/>
      <c r="AC3" s="1"/>
      <c r="AE3" s="1"/>
      <c r="AG3" s="1"/>
      <c r="AI3" s="1"/>
      <c r="AK3" s="1"/>
      <c r="AM3" s="1"/>
      <c r="AO3" s="1"/>
      <c r="AQ3" s="1"/>
      <c r="AS3" s="1"/>
      <c r="AU3" s="1"/>
      <c r="AW3" s="1"/>
      <c r="AY3" s="1"/>
      <c r="BA3" s="1"/>
      <c r="BC3" s="1"/>
      <c r="BE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  <c r="DE3" s="1"/>
      <c r="DG3" s="1"/>
      <c r="DI3" s="1"/>
      <c r="DK3" s="1"/>
      <c r="DM3" s="1"/>
      <c r="DO3" s="1"/>
      <c r="DQ3" s="1"/>
      <c r="DS3" s="1"/>
      <c r="DU3" s="1"/>
      <c r="DW3" s="1"/>
      <c r="DY3" s="1"/>
      <c r="EA3" s="1"/>
      <c r="EC3" s="1"/>
      <c r="EE3" s="1"/>
      <c r="EG3" s="1"/>
      <c r="EI3" s="1"/>
      <c r="EK3" s="1"/>
      <c r="EM3" s="1"/>
      <c r="EO3" s="1"/>
      <c r="EQ3" s="1"/>
      <c r="ES3" s="1"/>
      <c r="EU3" s="1"/>
      <c r="EW3" s="1"/>
      <c r="EY3" s="1"/>
      <c r="FA3" s="1"/>
      <c r="FC3" s="1"/>
      <c r="FE3" s="1"/>
      <c r="FG3" s="1"/>
      <c r="FI3" s="1"/>
      <c r="FK3" s="1"/>
      <c r="FM3" s="1"/>
      <c r="FO3" s="1"/>
      <c r="FQ3" s="1"/>
      <c r="FS3" s="1"/>
      <c r="FU3" s="1"/>
      <c r="FW3" s="1"/>
      <c r="FY3" s="1"/>
      <c r="GA3" s="1"/>
      <c r="GC3" s="1"/>
      <c r="GE3" s="1"/>
      <c r="GG3" s="1"/>
      <c r="GI3" s="1"/>
      <c r="GK3" s="1"/>
      <c r="GM3" s="1"/>
      <c r="GO3" s="1"/>
      <c r="GQ3" s="1"/>
      <c r="GS3" s="1"/>
      <c r="GU3" s="1"/>
      <c r="GW3" s="1"/>
      <c r="GY3" s="1"/>
      <c r="HA3" s="1"/>
      <c r="HC3" s="1"/>
      <c r="HE3" s="1"/>
      <c r="HG3" s="1"/>
      <c r="HI3" s="1"/>
      <c r="HK3" s="1"/>
      <c r="HM3" s="1"/>
      <c r="HO3" s="1"/>
      <c r="HQ3" s="1"/>
      <c r="HS3" s="1"/>
      <c r="HU3" s="1"/>
      <c r="HW3" s="1"/>
      <c r="HY3" s="1"/>
      <c r="IA3" s="1"/>
      <c r="IC3" s="1"/>
      <c r="IE3" s="1"/>
      <c r="IG3" s="1"/>
      <c r="II3" s="1"/>
      <c r="IK3" s="1"/>
      <c r="IM3" s="1"/>
      <c r="IO3" s="1"/>
      <c r="IQ3" s="1"/>
      <c r="IS3" s="1"/>
      <c r="IU3" s="1"/>
    </row>
    <row r="4" spans="1:255" ht="16.5">
      <c r="A4" s="1"/>
      <c r="C4" s="1"/>
      <c r="E4" s="1"/>
      <c r="G4" s="1"/>
      <c r="I4" s="1"/>
      <c r="K4" s="1"/>
      <c r="M4" s="1"/>
      <c r="O4" s="1"/>
      <c r="Q4" s="1"/>
      <c r="S4" s="1"/>
      <c r="U4" s="1"/>
      <c r="W4" s="1"/>
      <c r="Y4" s="1"/>
      <c r="AA4" s="1"/>
      <c r="AC4" s="1"/>
      <c r="AE4" s="1"/>
      <c r="AG4" s="1"/>
      <c r="AI4" s="1"/>
      <c r="AK4" s="1"/>
      <c r="AM4" s="1"/>
      <c r="AO4" s="1"/>
      <c r="AQ4" s="1"/>
      <c r="AS4" s="1"/>
      <c r="AU4" s="1"/>
      <c r="AW4" s="1"/>
      <c r="AY4" s="1"/>
      <c r="BA4" s="1"/>
      <c r="BC4" s="1"/>
      <c r="BE4" s="1"/>
      <c r="BG4" s="1"/>
      <c r="BI4" s="1"/>
      <c r="BK4" s="1"/>
      <c r="BM4" s="1"/>
      <c r="BO4" s="1"/>
      <c r="BQ4" s="1"/>
      <c r="BS4" s="1"/>
      <c r="BU4" s="1"/>
      <c r="BW4" s="1"/>
      <c r="BY4" s="1"/>
      <c r="CA4" s="1"/>
      <c r="CC4" s="1"/>
      <c r="CE4" s="1"/>
      <c r="CG4" s="1"/>
      <c r="CI4" s="1"/>
      <c r="CK4" s="1"/>
      <c r="CM4" s="1"/>
      <c r="CO4" s="1"/>
      <c r="CQ4" s="1"/>
      <c r="CS4" s="1"/>
      <c r="CU4" s="1"/>
      <c r="CW4" s="1"/>
      <c r="CY4" s="1"/>
      <c r="DA4" s="1"/>
      <c r="DC4" s="1"/>
      <c r="DE4" s="1"/>
      <c r="DG4" s="1"/>
      <c r="DI4" s="1"/>
      <c r="DK4" s="1"/>
      <c r="DM4" s="1"/>
      <c r="DO4" s="1"/>
      <c r="DQ4" s="1"/>
      <c r="DS4" s="1"/>
      <c r="DU4" s="1"/>
      <c r="DW4" s="1"/>
      <c r="DY4" s="1"/>
      <c r="EA4" s="1"/>
      <c r="EC4" s="1"/>
      <c r="EE4" s="1"/>
      <c r="EG4" s="1"/>
      <c r="EI4" s="1"/>
      <c r="EK4" s="1"/>
      <c r="EM4" s="1"/>
      <c r="EO4" s="1"/>
      <c r="EQ4" s="1"/>
      <c r="ES4" s="1"/>
      <c r="EU4" s="1"/>
      <c r="EW4" s="1"/>
      <c r="EY4" s="1"/>
      <c r="FA4" s="1"/>
      <c r="FC4" s="1"/>
      <c r="FE4" s="1"/>
      <c r="FG4" s="1"/>
      <c r="FI4" s="1"/>
      <c r="FK4" s="1"/>
      <c r="FM4" s="1"/>
      <c r="FO4" s="1"/>
      <c r="FQ4" s="1"/>
      <c r="FS4" s="1"/>
      <c r="FU4" s="1"/>
      <c r="FW4" s="1"/>
      <c r="FY4" s="1"/>
      <c r="GA4" s="1"/>
      <c r="GC4" s="1"/>
      <c r="GE4" s="1"/>
      <c r="GG4" s="1"/>
      <c r="GI4" s="1"/>
      <c r="GK4" s="1"/>
      <c r="GM4" s="1"/>
      <c r="GO4" s="1"/>
      <c r="GQ4" s="1"/>
      <c r="GS4" s="1"/>
      <c r="GU4" s="1"/>
      <c r="GW4" s="1"/>
      <c r="GY4" s="1"/>
      <c r="HA4" s="1"/>
      <c r="HC4" s="1"/>
      <c r="HE4" s="1"/>
      <c r="HG4" s="1"/>
      <c r="HI4" s="1"/>
      <c r="HK4" s="1"/>
      <c r="HM4" s="1"/>
      <c r="HO4" s="1"/>
      <c r="HQ4" s="1"/>
      <c r="HS4" s="1"/>
      <c r="HU4" s="1"/>
      <c r="HW4" s="1"/>
      <c r="HY4" s="1"/>
      <c r="IA4" s="1"/>
      <c r="IC4" s="1"/>
      <c r="IE4" s="1"/>
      <c r="IG4" s="1"/>
      <c r="II4" s="1"/>
      <c r="IK4" s="1"/>
      <c r="IM4" s="1"/>
      <c r="IO4" s="1"/>
      <c r="IQ4" s="1"/>
      <c r="IS4" s="1"/>
      <c r="IU4" s="1"/>
    </row>
    <row r="5" spans="2:16" ht="16.5">
      <c r="B5" s="1" t="s">
        <v>40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16" ht="16.5">
      <c r="B6" s="1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4" ht="12">
      <c r="B7" s="68"/>
      <c r="C7" s="68"/>
      <c r="D7" s="68"/>
    </row>
    <row r="8" spans="5:16" ht="12">
      <c r="E8" s="105" t="s">
        <v>35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6" ht="12">
      <c r="B9" s="27" t="s">
        <v>36</v>
      </c>
      <c r="C9" s="69" t="s">
        <v>1</v>
      </c>
      <c r="D9" s="69"/>
      <c r="E9" s="70">
        <v>1</v>
      </c>
      <c r="F9" s="70">
        <v>2</v>
      </c>
      <c r="G9" s="70">
        <v>3</v>
      </c>
      <c r="H9" s="70">
        <v>4</v>
      </c>
      <c r="I9" s="70">
        <v>5</v>
      </c>
      <c r="J9" s="70">
        <v>6</v>
      </c>
      <c r="K9" s="70">
        <v>7</v>
      </c>
      <c r="L9" s="70">
        <v>8</v>
      </c>
      <c r="M9" s="70">
        <v>9</v>
      </c>
      <c r="N9" s="70">
        <v>10</v>
      </c>
      <c r="O9" s="70">
        <v>11</v>
      </c>
      <c r="P9" s="71">
        <v>12</v>
      </c>
    </row>
    <row r="10" spans="2:16" ht="12">
      <c r="B10" s="110" t="s">
        <v>37</v>
      </c>
      <c r="C10" s="111" t="s">
        <v>9</v>
      </c>
      <c r="D10" s="72" t="s">
        <v>41</v>
      </c>
      <c r="E10" s="73">
        <f>IF('Madcow Program'!E10&gt;=SQTON*E28,5*'Madcow Program'!E10,0)+IF('Madcow Program'!E11&gt;=SQTON*E28,5*'Madcow Program'!E11,0)+IF('Madcow Program'!E12&gt;=SQTON*E28,5*'Madcow Program'!E12,0)+IF('Madcow Program'!E13&gt;=SQTON*E28,5*'Madcow Program'!E13,0)+IF('Madcow Program'!E14&gt;=SQTON*E28,5*'Madcow Program'!E14,0)</f>
        <v>3475</v>
      </c>
      <c r="F10" s="73">
        <f>IF('Madcow Program'!F10&gt;=SQTON*F28,5*'Madcow Program'!F10,0)+IF('Madcow Program'!F11&gt;=SQTON*F28,5*'Madcow Program'!F11,0)+IF('Madcow Program'!F12&gt;=SQTON*F28,5*'Madcow Program'!F12,0)+IF('Madcow Program'!F13&gt;=SQTON*F28,5*'Madcow Program'!F13,0)+IF('Madcow Program'!F14&gt;=SQTON*F28,5*'Madcow Program'!F14,0)</f>
        <v>3550</v>
      </c>
      <c r="G10" s="73">
        <f>IF('Madcow Program'!G10&gt;=SQTON*G28,5*'Madcow Program'!G10,0)+IF('Madcow Program'!G11&gt;=SQTON*G28,5*'Madcow Program'!G11,0)+IF('Madcow Program'!G12&gt;=SQTON*G28,5*'Madcow Program'!G12,0)+IF('Madcow Program'!G13&gt;=SQTON*G28,5*'Madcow Program'!G13,0)+IF('Madcow Program'!G14&gt;=SQTON*G28,5*'Madcow Program'!G14,0)</f>
        <v>3675</v>
      </c>
      <c r="H10" s="73">
        <f>IF('Madcow Program'!H10&gt;=SQTON*H28,5*'Madcow Program'!H10,0)+IF('Madcow Program'!H11&gt;=SQTON*H28,5*'Madcow Program'!H11,0)+IF('Madcow Program'!H12&gt;=SQTON*H28,5*'Madcow Program'!H12,0)+IF('Madcow Program'!H13&gt;=SQTON*H28,5*'Madcow Program'!H13,0)+IF('Madcow Program'!H14&gt;=SQTON*H28,5*'Madcow Program'!H14,0)</f>
        <v>3750</v>
      </c>
      <c r="I10" s="73">
        <f>IF('Madcow Program'!I10&gt;=SQTON*I28,5*'Madcow Program'!I10,0)+IF('Madcow Program'!I11&gt;=SQTON*I28,5*'Madcow Program'!I11,0)+IF('Madcow Program'!I12&gt;=SQTON*I28,5*'Madcow Program'!I12,0)+IF('Madcow Program'!I13&gt;=SQTON*I28,5*'Madcow Program'!I13,0)+IF('Madcow Program'!I14&gt;=SQTON*I28,5*'Madcow Program'!I14,0)</f>
        <v>3875</v>
      </c>
      <c r="J10" s="73">
        <f>IF('Madcow Program'!J10&gt;=SQTON*J28,5*'Madcow Program'!J10,0)+IF('Madcow Program'!J11&gt;=SQTON*J28,5*'Madcow Program'!J11,0)+IF('Madcow Program'!J12&gt;=SQTON*J28,5*'Madcow Program'!J12,0)+IF('Madcow Program'!J13&gt;=SQTON*J28,5*'Madcow Program'!J13,0)+IF('Madcow Program'!J14&gt;=SQTON*J28,5*'Madcow Program'!J14,0)</f>
        <v>3950</v>
      </c>
      <c r="K10" s="73">
        <f>IF('Madcow Program'!K10&gt;=SQTON*K28,5*'Madcow Program'!K10,0)+IF('Madcow Program'!K11&gt;=SQTON*K28,5*'Madcow Program'!K11,0)+IF('Madcow Program'!K12&gt;=SQTON*K28,5*'Madcow Program'!K12,0)+IF('Madcow Program'!K13&gt;=SQTON*K28,5*'Madcow Program'!K13,0)+IF('Madcow Program'!K14&gt;=SQTON*K28,5*'Madcow Program'!K14,0)</f>
        <v>4000</v>
      </c>
      <c r="L10" s="73">
        <f>IF('Madcow Program'!L10&gt;=SQTON*L28,5*'Madcow Program'!L10,0)+IF('Madcow Program'!L11&gt;=SQTON*L28,5*'Madcow Program'!L11,0)+IF('Madcow Program'!L12&gt;=SQTON*L28,5*'Madcow Program'!L12,0)+IF('Madcow Program'!L13&gt;=SQTON*L28,5*'Madcow Program'!L13,0)+IF('Madcow Program'!L14&gt;=SQTON*L28,5*'Madcow Program'!L14,0)</f>
        <v>4125</v>
      </c>
      <c r="M10" s="73">
        <f>IF('Madcow Program'!M10&gt;=SQTON*M28,5*'Madcow Program'!M10,0)+IF('Madcow Program'!M11&gt;=SQTON*M28,5*'Madcow Program'!M11,0)+IF('Madcow Program'!M12&gt;=SQTON*M28,5*'Madcow Program'!M12,0)+IF('Madcow Program'!M13&gt;=SQTON*M28,5*'Madcow Program'!M13,0)+IF('Madcow Program'!M14&gt;=SQTON*M28,5*'Madcow Program'!M14,0)</f>
        <v>4275</v>
      </c>
      <c r="N10" s="73">
        <f>IF('Madcow Program'!N10&gt;=SQTON*N28,5*'Madcow Program'!N10,0)+IF('Madcow Program'!N11&gt;=SQTON*N28,5*'Madcow Program'!N11,0)+IF('Madcow Program'!N12&gt;=SQTON*N28,5*'Madcow Program'!N12,0)+IF('Madcow Program'!N13&gt;=SQTON*N28,5*'Madcow Program'!N13,0)+IF('Madcow Program'!N14&gt;=SQTON*N28,5*'Madcow Program'!N14,0)</f>
        <v>4350</v>
      </c>
      <c r="O10" s="73">
        <f>IF('Madcow Program'!O10&gt;=SQTON*O28,5*'Madcow Program'!O10,0)+IF('Madcow Program'!O11&gt;=SQTON*O28,5*'Madcow Program'!O11,0)+IF('Madcow Program'!O12&gt;=SQTON*O28,5*'Madcow Program'!O12,0)+IF('Madcow Program'!O13&gt;=SQTON*O28,5*'Madcow Program'!O13,0)+IF('Madcow Program'!O14&gt;=SQTON*O28,5*'Madcow Program'!O14,0)</f>
        <v>4475</v>
      </c>
      <c r="P10" s="74">
        <f>IF('Madcow Program'!P10&gt;=SQTON*P28,5*'Madcow Program'!P10,0)+IF('Madcow Program'!P11&gt;=SQTON*P28,5*'Madcow Program'!P11,0)+IF('Madcow Program'!P12&gt;=SQTON*P28,5*'Madcow Program'!P12,0)+IF('Madcow Program'!P13&gt;=SQTON*P28,5*'Madcow Program'!P13,0)+IF('Madcow Program'!P14&gt;=SQTON*P28,5*'Madcow Program'!P14,0)</f>
        <v>4600</v>
      </c>
    </row>
    <row r="11" spans="2:16" ht="12">
      <c r="B11" s="110"/>
      <c r="C11" s="111"/>
      <c r="D11" s="75" t="s">
        <v>42</v>
      </c>
      <c r="E11" s="76">
        <f>5*SUM('Madcow Program'!E10:E14)</f>
        <v>4975</v>
      </c>
      <c r="F11" s="76">
        <f>5*SUM('Madcow Program'!F10:F14)</f>
        <v>5075</v>
      </c>
      <c r="G11" s="76">
        <f>5*SUM('Madcow Program'!G10:G14)</f>
        <v>5250</v>
      </c>
      <c r="H11" s="76">
        <f>5*SUM('Madcow Program'!H10:H14)</f>
        <v>5375</v>
      </c>
      <c r="I11" s="76">
        <f>5*SUM('Madcow Program'!I10:I14)</f>
        <v>5550</v>
      </c>
      <c r="J11" s="76">
        <f>5*SUM('Madcow Program'!J10:J14)</f>
        <v>5650</v>
      </c>
      <c r="K11" s="76">
        <f>5*SUM('Madcow Program'!K10:K14)</f>
        <v>5725</v>
      </c>
      <c r="L11" s="76">
        <f>5*SUM('Madcow Program'!L10:L14)</f>
        <v>5900</v>
      </c>
      <c r="M11" s="76">
        <f>5*SUM('Madcow Program'!M10:M14)</f>
        <v>6125</v>
      </c>
      <c r="N11" s="76">
        <f>5*SUM('Madcow Program'!N10:N14)</f>
        <v>6200</v>
      </c>
      <c r="O11" s="76">
        <f>5*SUM('Madcow Program'!O10:O14)</f>
        <v>6400</v>
      </c>
      <c r="P11" s="77">
        <f>5*SUM('Madcow Program'!P10:P14)</f>
        <v>6575</v>
      </c>
    </row>
    <row r="12" spans="2:16" ht="12">
      <c r="B12" s="110"/>
      <c r="C12" s="111" t="s">
        <v>10</v>
      </c>
      <c r="D12" s="72" t="s">
        <v>41</v>
      </c>
      <c r="E12" s="78">
        <f>IF('Madcow Program'!E15&gt;=BPTON*E31,5*'Madcow Program'!E15,0)+IF('Madcow Program'!E16&gt;=BPTON*E31,5*'Madcow Program'!E16,0)+IF('Madcow Program'!E17&gt;=BPTON*E31,5*'Madcow Program'!E17,0)+IF('Madcow Program'!E18&gt;=BPTON*E31,5*'Madcow Program'!E18,0)+IF('Madcow Program'!E19&gt;=BPTON*E31,5*'Madcow Program'!E19,0)</f>
        <v>2425</v>
      </c>
      <c r="F12" s="78">
        <f>IF('Madcow Program'!F15&gt;=BPTON*F31,5*'Madcow Program'!F15,0)+IF('Madcow Program'!F16&gt;=BPTON*F31,5*'Madcow Program'!F16,0)+IF('Madcow Program'!F17&gt;=BPTON*F31,5*'Madcow Program'!F17,0)+IF('Madcow Program'!F18&gt;=BPTON*F31,5*'Madcow Program'!F18,0)+IF('Madcow Program'!F19&gt;=BPTON*F31,5*'Madcow Program'!F19,0)</f>
        <v>2500</v>
      </c>
      <c r="G12" s="78">
        <f>IF('Madcow Program'!G15&gt;=BPTON*G31,5*'Madcow Program'!G15,0)+IF('Madcow Program'!G16&gt;=BPTON*G31,5*'Madcow Program'!G16,0)+IF('Madcow Program'!G17&gt;=BPTON*G31,5*'Madcow Program'!G17,0)+IF('Madcow Program'!G18&gt;=BPTON*G31,5*'Madcow Program'!G18,0)+IF('Madcow Program'!G19&gt;=BPTON*G31,5*'Madcow Program'!G19,0)</f>
        <v>2550</v>
      </c>
      <c r="H12" s="78">
        <f>IF('Madcow Program'!H15&gt;=BPTON*H31,5*'Madcow Program'!H15,0)+IF('Madcow Program'!H16&gt;=BPTON*H31,5*'Madcow Program'!H16,0)+IF('Madcow Program'!H17&gt;=BPTON*H31,5*'Madcow Program'!H17,0)+IF('Madcow Program'!H18&gt;=BPTON*H31,5*'Madcow Program'!H18,0)+IF('Madcow Program'!H19&gt;=BPTON*H31,5*'Madcow Program'!H19,0)</f>
        <v>2625</v>
      </c>
      <c r="I12" s="78">
        <f>IF('Madcow Program'!I15&gt;=BPTON*I31,5*'Madcow Program'!I15,0)+IF('Madcow Program'!I16&gt;=BPTON*I31,5*'Madcow Program'!I16,0)+IF('Madcow Program'!I17&gt;=BPTON*I31,5*'Madcow Program'!I17,0)+IF('Madcow Program'!I18&gt;=BPTON*I31,5*'Madcow Program'!I18,0)+IF('Madcow Program'!I19&gt;=BPTON*I31,5*'Madcow Program'!I19,0)</f>
        <v>2700</v>
      </c>
      <c r="J12" s="78">
        <f>IF('Madcow Program'!J15&gt;=BPTON*J31,5*'Madcow Program'!J15,0)+IF('Madcow Program'!J16&gt;=BPTON*J31,5*'Madcow Program'!J16,0)+IF('Madcow Program'!J17&gt;=BPTON*J31,5*'Madcow Program'!J17,0)+IF('Madcow Program'!J18&gt;=BPTON*J31,5*'Madcow Program'!J18,0)+IF('Madcow Program'!J19&gt;=BPTON*J31,5*'Madcow Program'!J19,0)</f>
        <v>2775</v>
      </c>
      <c r="K12" s="78">
        <f>IF('Madcow Program'!K15&gt;=BPTON*K31,5*'Madcow Program'!K15,0)+IF('Madcow Program'!K16&gt;=BPTON*K31,5*'Madcow Program'!K16,0)+IF('Madcow Program'!K17&gt;=BPTON*K31,5*'Madcow Program'!K17,0)+IF('Madcow Program'!K18&gt;=BPTON*K31,5*'Madcow Program'!K18,0)+IF('Madcow Program'!K19&gt;=BPTON*K31,5*'Madcow Program'!K19,0)</f>
        <v>2825</v>
      </c>
      <c r="L12" s="78">
        <f>IF('Madcow Program'!L15&gt;=BPTON*L31,5*'Madcow Program'!L15,0)+IF('Madcow Program'!L16&gt;=BPTON*L31,5*'Madcow Program'!L16,0)+IF('Madcow Program'!L17&gt;=BPTON*L31,5*'Madcow Program'!L17,0)+IF('Madcow Program'!L18&gt;=BPTON*L31,5*'Madcow Program'!L18,0)+IF('Madcow Program'!L19&gt;=BPTON*L31,5*'Madcow Program'!L19,0)</f>
        <v>2900</v>
      </c>
      <c r="M12" s="78">
        <f>IF('Madcow Program'!M15&gt;=BPTON*M31,5*'Madcow Program'!M15,0)+IF('Madcow Program'!M16&gt;=BPTON*M31,5*'Madcow Program'!M16,0)+IF('Madcow Program'!M17&gt;=BPTON*M31,5*'Madcow Program'!M17,0)+IF('Madcow Program'!M18&gt;=BPTON*M31,5*'Madcow Program'!M18,0)+IF('Madcow Program'!M19&gt;=BPTON*M31,5*'Madcow Program'!M19,0)</f>
        <v>2950</v>
      </c>
      <c r="N12" s="78">
        <f>IF('Madcow Program'!N15&gt;=BPTON*N31,5*'Madcow Program'!N15,0)+IF('Madcow Program'!N16&gt;=BPTON*N31,5*'Madcow Program'!N16,0)+IF('Madcow Program'!N17&gt;=BPTON*N31,5*'Madcow Program'!N17,0)+IF('Madcow Program'!N18&gt;=BPTON*N31,5*'Madcow Program'!N18,0)+IF('Madcow Program'!N19&gt;=BPTON*N31,5*'Madcow Program'!N19,0)</f>
        <v>3025</v>
      </c>
      <c r="O12" s="78">
        <f>IF('Madcow Program'!O15&gt;=BPTON*O31,5*'Madcow Program'!O15,0)+IF('Madcow Program'!O16&gt;=BPTON*O31,5*'Madcow Program'!O16,0)+IF('Madcow Program'!O17&gt;=BPTON*O31,5*'Madcow Program'!O17,0)+IF('Madcow Program'!O18&gt;=BPTON*O31,5*'Madcow Program'!O18,0)+IF('Madcow Program'!O19&gt;=BPTON*O31,5*'Madcow Program'!O19,0)</f>
        <v>3075</v>
      </c>
      <c r="P12" s="79">
        <f>IF('Madcow Program'!P15&gt;=BPTON*P31,5*'Madcow Program'!P15,0)+IF('Madcow Program'!P16&gt;=BPTON*P31,5*'Madcow Program'!P16,0)+IF('Madcow Program'!P17&gt;=BPTON*P31,5*'Madcow Program'!P17,0)+IF('Madcow Program'!P18&gt;=BPTON*P31,5*'Madcow Program'!P18,0)+IF('Madcow Program'!P19&gt;=BPTON*P31,5*'Madcow Program'!P19,0)</f>
        <v>3225</v>
      </c>
    </row>
    <row r="13" spans="2:16" ht="12">
      <c r="B13" s="110"/>
      <c r="C13" s="111"/>
      <c r="D13" s="75" t="s">
        <v>42</v>
      </c>
      <c r="E13" s="80">
        <f>5*SUM('Madcow Program'!E15:E19)</f>
        <v>3475</v>
      </c>
      <c r="F13" s="80">
        <f>5*SUM('Madcow Program'!F15:F19)</f>
        <v>3575</v>
      </c>
      <c r="G13" s="80">
        <f>5*SUM('Madcow Program'!G15:G19)</f>
        <v>3650</v>
      </c>
      <c r="H13" s="80">
        <f>5*SUM('Madcow Program'!H15:H19)</f>
        <v>3750</v>
      </c>
      <c r="I13" s="80">
        <f>5*SUM('Madcow Program'!I15:I19)</f>
        <v>3875</v>
      </c>
      <c r="J13" s="80">
        <f>5*SUM('Madcow Program'!J15:J19)</f>
        <v>3950</v>
      </c>
      <c r="K13" s="80">
        <f>5*SUM('Madcow Program'!K15:K19)</f>
        <v>4050</v>
      </c>
      <c r="L13" s="80">
        <f>5*SUM('Madcow Program'!L15:L19)</f>
        <v>4150</v>
      </c>
      <c r="M13" s="80">
        <f>5*SUM('Madcow Program'!M15:M19)</f>
        <v>4225</v>
      </c>
      <c r="N13" s="80">
        <f>5*SUM('Madcow Program'!N15:N19)</f>
        <v>4325</v>
      </c>
      <c r="O13" s="80">
        <f>5*SUM('Madcow Program'!O15:O19)</f>
        <v>4400</v>
      </c>
      <c r="P13" s="81">
        <f>5*SUM('Madcow Program'!P15:P19)</f>
        <v>4625</v>
      </c>
    </row>
    <row r="14" spans="2:16" ht="12">
      <c r="B14" s="110"/>
      <c r="C14" s="109" t="s">
        <v>11</v>
      </c>
      <c r="D14" s="72" t="s">
        <v>41</v>
      </c>
      <c r="E14" s="73">
        <f>IF('Madcow Program'!E20&gt;=BBRTON*E34,5*'Madcow Program'!E20,0)+IF('Madcow Program'!E21&gt;=BBRTON*E34,5*'Madcow Program'!E21,0)+IF('Madcow Program'!E22&gt;=BBRTON*E34,5*'Madcow Program'!E22,0)+IF('Madcow Program'!E23&gt;=BBRTON*E34,5*'Madcow Program'!E23,0)+IF('Madcow Program'!E24&gt;=BBRTON*E34,5*'Madcow Program'!E24,0)</f>
        <v>2250</v>
      </c>
      <c r="F14" s="73">
        <f>IF('Madcow Program'!F20&gt;=BBRTON*F34,5*'Madcow Program'!F20,0)+IF('Madcow Program'!F21&gt;=BBRTON*F34,5*'Madcow Program'!F21,0)+IF('Madcow Program'!F22&gt;=BBRTON*F34,5*'Madcow Program'!F22,0)+IF('Madcow Program'!F23&gt;=BBRTON*F34,5*'Madcow Program'!F23,0)+IF('Madcow Program'!F24&gt;=BBRTON*F34,5*'Madcow Program'!F24,0)</f>
        <v>2300</v>
      </c>
      <c r="G14" s="73">
        <f>IF('Madcow Program'!G20&gt;=BBRTON*G34,5*'Madcow Program'!G20,0)+IF('Madcow Program'!G21&gt;=BBRTON*G34,5*'Madcow Program'!G21,0)+IF('Madcow Program'!G22&gt;=BBRTON*G34,5*'Madcow Program'!G22,0)+IF('Madcow Program'!G23&gt;=BBRTON*G34,5*'Madcow Program'!G23,0)+IF('Madcow Program'!G24&gt;=BBRTON*G34,5*'Madcow Program'!G24,0)</f>
        <v>2375</v>
      </c>
      <c r="H14" s="73">
        <f>IF('Madcow Program'!H20&gt;=BBRTON*H34,5*'Madcow Program'!H20,0)+IF('Madcow Program'!H21&gt;=BBRTON*H34,5*'Madcow Program'!H21,0)+IF('Madcow Program'!H22&gt;=BBRTON*H34,5*'Madcow Program'!H22,0)+IF('Madcow Program'!H23&gt;=BBRTON*H34,5*'Madcow Program'!H23,0)+IF('Madcow Program'!H24&gt;=BBRTON*H34,5*'Madcow Program'!H24,0)</f>
        <v>2425</v>
      </c>
      <c r="I14" s="73">
        <f>IF('Madcow Program'!I20&gt;=BBRTON*I34,5*'Madcow Program'!I20,0)+IF('Madcow Program'!I21&gt;=BBRTON*I34,5*'Madcow Program'!I21,0)+IF('Madcow Program'!I22&gt;=BBRTON*I34,5*'Madcow Program'!I22,0)+IF('Madcow Program'!I23&gt;=BBRTON*I34,5*'Madcow Program'!I23,0)+IF('Madcow Program'!I24&gt;=BBRTON*I34,5*'Madcow Program'!I24,0)</f>
        <v>2500</v>
      </c>
      <c r="J14" s="73">
        <f>IF('Madcow Program'!J20&gt;=BBRTON*J34,5*'Madcow Program'!J20,0)+IF('Madcow Program'!J21&gt;=BBRTON*J34,5*'Madcow Program'!J21,0)+IF('Madcow Program'!J22&gt;=BBRTON*J34,5*'Madcow Program'!J22,0)+IF('Madcow Program'!J23&gt;=BBRTON*J34,5*'Madcow Program'!J23,0)+IF('Madcow Program'!J24&gt;=BBRTON*J34,5*'Madcow Program'!J24,0)</f>
        <v>2500</v>
      </c>
      <c r="K14" s="73">
        <f>IF('Madcow Program'!K20&gt;=BBRTON*K34,5*'Madcow Program'!K20,0)+IF('Madcow Program'!K21&gt;=BBRTON*K34,5*'Madcow Program'!K21,0)+IF('Madcow Program'!K22&gt;=BBRTON*K34,5*'Madcow Program'!K22,0)+IF('Madcow Program'!K23&gt;=BBRTON*K34,5*'Madcow Program'!K23,0)+IF('Madcow Program'!K24&gt;=BBRTON*K34,5*'Madcow Program'!K24,0)</f>
        <v>2550</v>
      </c>
      <c r="L14" s="73">
        <f>IF('Madcow Program'!L20&gt;=BBRTON*L34,5*'Madcow Program'!L20,0)+IF('Madcow Program'!L21&gt;=BBRTON*L34,5*'Madcow Program'!L21,0)+IF('Madcow Program'!L22&gt;=BBRTON*L34,5*'Madcow Program'!L22,0)+IF('Madcow Program'!L23&gt;=BBRTON*L34,5*'Madcow Program'!L23,0)+IF('Madcow Program'!L24&gt;=BBRTON*L34,5*'Madcow Program'!L24,0)</f>
        <v>2625</v>
      </c>
      <c r="M14" s="73">
        <f>IF('Madcow Program'!M20&gt;=BBRTON*M34,5*'Madcow Program'!M20,0)+IF('Madcow Program'!M21&gt;=BBRTON*M34,5*'Madcow Program'!M21,0)+IF('Madcow Program'!M22&gt;=BBRTON*M34,5*'Madcow Program'!M22,0)+IF('Madcow Program'!M23&gt;=BBRTON*M34,5*'Madcow Program'!M23,0)+IF('Madcow Program'!M24&gt;=BBRTON*M34,5*'Madcow Program'!M24,0)</f>
        <v>2700</v>
      </c>
      <c r="N14" s="73">
        <f>IF('Madcow Program'!N20&gt;=BBRTON*N34,5*'Madcow Program'!N20,0)+IF('Madcow Program'!N21&gt;=BBRTON*N34,5*'Madcow Program'!N21,0)+IF('Madcow Program'!N22&gt;=BBRTON*N34,5*'Madcow Program'!N22,0)+IF('Madcow Program'!N23&gt;=BBRTON*N34,5*'Madcow Program'!N23,0)+IF('Madcow Program'!N24&gt;=BBRTON*N34,5*'Madcow Program'!N24,0)</f>
        <v>2775</v>
      </c>
      <c r="O14" s="73">
        <f>IF('Madcow Program'!O20&gt;=BBRTON*O34,5*'Madcow Program'!O20,0)+IF('Madcow Program'!O21&gt;=BBRTON*O34,5*'Madcow Program'!O21,0)+IF('Madcow Program'!O22&gt;=BBRTON*O34,5*'Madcow Program'!O22,0)+IF('Madcow Program'!O23&gt;=BBRTON*O34,5*'Madcow Program'!O23,0)+IF('Madcow Program'!O24&gt;=BBRTON*O34,5*'Madcow Program'!O24,0)</f>
        <v>2900</v>
      </c>
      <c r="P14" s="82">
        <f>IF('Madcow Program'!P20&gt;=BBRTON*P34,5*'Madcow Program'!P20,0)+IF('Madcow Program'!P21&gt;=BBRTON*P34,5*'Madcow Program'!P21,0)+IF('Madcow Program'!P22&gt;=BBRTON*P34,5*'Madcow Program'!P22,0)+IF('Madcow Program'!P23&gt;=BBRTON*P34,5*'Madcow Program'!P23,0)+IF('Madcow Program'!P24&gt;=BBRTON*P34,5*'Madcow Program'!P24,0)</f>
        <v>2950</v>
      </c>
    </row>
    <row r="15" spans="2:16" ht="12">
      <c r="B15" s="110"/>
      <c r="C15" s="109"/>
      <c r="D15" s="83" t="s">
        <v>42</v>
      </c>
      <c r="E15" s="84">
        <f>5*SUM('Madcow Program'!E20:E24)</f>
        <v>3200</v>
      </c>
      <c r="F15" s="84">
        <f>5*SUM('Madcow Program'!F20:F24)</f>
        <v>3300</v>
      </c>
      <c r="G15" s="84">
        <f>5*SUM('Madcow Program'!G20:G24)</f>
        <v>3400</v>
      </c>
      <c r="H15" s="84">
        <f>5*SUM('Madcow Program'!H20:H24)</f>
        <v>3475</v>
      </c>
      <c r="I15" s="84">
        <f>5*SUM('Madcow Program'!I20:I24)</f>
        <v>3575</v>
      </c>
      <c r="J15" s="84">
        <f>5*SUM('Madcow Program'!J20:J24)</f>
        <v>3575</v>
      </c>
      <c r="K15" s="84">
        <f>5*SUM('Madcow Program'!K20:K24)</f>
        <v>3650</v>
      </c>
      <c r="L15" s="84">
        <f>5*SUM('Madcow Program'!L20:L24)</f>
        <v>3750</v>
      </c>
      <c r="M15" s="84">
        <f>5*SUM('Madcow Program'!M20:M24)</f>
        <v>3875</v>
      </c>
      <c r="N15" s="84">
        <f>5*SUM('Madcow Program'!N20:N24)</f>
        <v>3950</v>
      </c>
      <c r="O15" s="84">
        <f>5*SUM('Madcow Program'!O20:O24)</f>
        <v>4150</v>
      </c>
      <c r="P15" s="85">
        <f>5*SUM('Madcow Program'!P20:P24)</f>
        <v>4225</v>
      </c>
    </row>
    <row r="16" spans="2:16" ht="12">
      <c r="B16" s="110" t="s">
        <v>38</v>
      </c>
      <c r="C16" s="111" t="s">
        <v>9</v>
      </c>
      <c r="D16" s="72" t="s">
        <v>41</v>
      </c>
      <c r="E16" s="78">
        <f>IF('Madcow Program'!E25&gt;=SQTON*E28,5*'Madcow Program'!E25,0)+IF('Madcow Program'!E26&gt;=SQTON*E28,5*'Madcow Program'!E26,0)+IF('Madcow Program'!E27&gt;=SQTON*E28,5*'Madcow Program'!E27,0)+IF('Madcow Program'!E28&gt;=SQTON*E28,5*'Madcow Program'!E28,0)</f>
        <v>2000</v>
      </c>
      <c r="F16" s="78">
        <f>IF('Madcow Program'!F25&gt;=SQTON*F28,5*'Madcow Program'!F25,0)+IF('Madcow Program'!F26&gt;=SQTON*F28,5*'Madcow Program'!F26,0)+IF('Madcow Program'!F27&gt;=SQTON*F28,5*'Madcow Program'!F27,0)+IF('Madcow Program'!F28&gt;=SQTON*F28,5*'Madcow Program'!F28,0)</f>
        <v>2050</v>
      </c>
      <c r="G16" s="78">
        <f>IF('Madcow Program'!G25&gt;=SQTON*G28,5*'Madcow Program'!G25,0)+IF('Madcow Program'!G26&gt;=SQTON*G28,5*'Madcow Program'!G26,0)+IF('Madcow Program'!G27&gt;=SQTON*G28,5*'Madcow Program'!G27,0)+IF('Madcow Program'!G28&gt;=SQTON*G28,5*'Madcow Program'!G28,0)</f>
        <v>2100</v>
      </c>
      <c r="H16" s="78">
        <f>IF('Madcow Program'!H25&gt;=SQTON*H28,5*'Madcow Program'!H25,0)+IF('Madcow Program'!H26&gt;=SQTON*H28,5*'Madcow Program'!H26,0)+IF('Madcow Program'!H27&gt;=SQTON*H28,5*'Madcow Program'!H27,0)+IF('Madcow Program'!H28&gt;=SQTON*H28,5*'Madcow Program'!H28,0)</f>
        <v>2150</v>
      </c>
      <c r="I16" s="78">
        <f>IF('Madcow Program'!I25&gt;=SQTON*I28,5*'Madcow Program'!I25,0)+IF('Madcow Program'!I26&gt;=SQTON*I28,5*'Madcow Program'!I26,0)+IF('Madcow Program'!I27&gt;=SQTON*I28,5*'Madcow Program'!I27,0)+IF('Madcow Program'!I28&gt;=SQTON*I28,5*'Madcow Program'!I28,0)</f>
        <v>2200</v>
      </c>
      <c r="J16" s="78">
        <f>IF('Madcow Program'!J25&gt;=SQTON*J28,5*'Madcow Program'!J25,0)+IF('Madcow Program'!J26&gt;=SQTON*J28,5*'Madcow Program'!J26,0)+IF('Madcow Program'!J27&gt;=SQTON*J28,5*'Madcow Program'!J27,0)+IF('Madcow Program'!J28&gt;=SQTON*J28,5*'Madcow Program'!J28,0)</f>
        <v>2250</v>
      </c>
      <c r="K16" s="78">
        <f>IF('Madcow Program'!K25&gt;=SQTON*K28,5*'Madcow Program'!K25,0)+IF('Madcow Program'!K26&gt;=SQTON*K28,5*'Madcow Program'!K26,0)+IF('Madcow Program'!K27&gt;=SQTON*K28,5*'Madcow Program'!K27,0)+IF('Madcow Program'!K28&gt;=SQTON*K28,5*'Madcow Program'!K28,0)</f>
        <v>2300</v>
      </c>
      <c r="L16" s="78">
        <f>IF('Madcow Program'!L25&gt;=SQTON*L28,5*'Madcow Program'!L25,0)+IF('Madcow Program'!L26&gt;=SQTON*L28,5*'Madcow Program'!L26,0)+IF('Madcow Program'!L27&gt;=SQTON*L28,5*'Madcow Program'!L27,0)+IF('Madcow Program'!L28&gt;=SQTON*L28,5*'Madcow Program'!L28,0)</f>
        <v>2350</v>
      </c>
      <c r="M16" s="78">
        <f>IF('Madcow Program'!M25&gt;=SQTON*M28,5*'Madcow Program'!M25,0)+IF('Madcow Program'!M26&gt;=SQTON*M28,5*'Madcow Program'!M26,0)+IF('Madcow Program'!M27&gt;=SQTON*M28,5*'Madcow Program'!M27,0)+IF('Madcow Program'!M28&gt;=SQTON*M28,5*'Madcow Program'!M28,0)</f>
        <v>2450</v>
      </c>
      <c r="N16" s="78">
        <f>IF('Madcow Program'!N25&gt;=SQTON*N28,5*'Madcow Program'!N25,0)+IF('Madcow Program'!N26&gt;=SQTON*N28,5*'Madcow Program'!N26,0)+IF('Madcow Program'!N27&gt;=SQTON*N28,5*'Madcow Program'!N27,0)+IF('Madcow Program'!N28&gt;=SQTON*N28,5*'Madcow Program'!N28,0)</f>
        <v>2500</v>
      </c>
      <c r="O16" s="78">
        <f>IF('Madcow Program'!O25&gt;=SQTON*O28,5*'Madcow Program'!O25,0)+IF('Madcow Program'!O26&gt;=SQTON*O28,5*'Madcow Program'!O26,0)+IF('Madcow Program'!O27&gt;=SQTON*O28,5*'Madcow Program'!O27,0)+IF('Madcow Program'!O28&gt;=SQTON*O28,5*'Madcow Program'!O28,0)</f>
        <v>2550</v>
      </c>
      <c r="P16" s="79">
        <f>IF('Madcow Program'!P25&gt;=SQTON*P28,5*'Madcow Program'!P25,0)+IF('Madcow Program'!P26&gt;=SQTON*P28,5*'Madcow Program'!P26,0)+IF('Madcow Program'!P27&gt;=SQTON*P28,5*'Madcow Program'!P27,0)+IF('Madcow Program'!P28&gt;=SQTON*P28,5*'Madcow Program'!P28,0)</f>
        <v>2650</v>
      </c>
    </row>
    <row r="17" spans="2:16" ht="12">
      <c r="B17" s="110"/>
      <c r="C17" s="111"/>
      <c r="D17" s="75" t="s">
        <v>42</v>
      </c>
      <c r="E17" s="80">
        <f>5*SUM('Madcow Program'!E25:E28)</f>
        <v>3500</v>
      </c>
      <c r="F17" s="80">
        <f>5*SUM('Madcow Program'!F25:F28)</f>
        <v>3575</v>
      </c>
      <c r="G17" s="80">
        <f>5*SUM('Madcow Program'!G25:G28)</f>
        <v>3675</v>
      </c>
      <c r="H17" s="80">
        <f>5*SUM('Madcow Program'!H25:H28)</f>
        <v>3775</v>
      </c>
      <c r="I17" s="80">
        <f>5*SUM('Madcow Program'!I25:I28)</f>
        <v>3875</v>
      </c>
      <c r="J17" s="80">
        <f>5*SUM('Madcow Program'!J25:J28)</f>
        <v>3950</v>
      </c>
      <c r="K17" s="80">
        <f>5*SUM('Madcow Program'!K25:K28)</f>
        <v>4025</v>
      </c>
      <c r="L17" s="80">
        <f>5*SUM('Madcow Program'!L25:L28)</f>
        <v>4125</v>
      </c>
      <c r="M17" s="80">
        <f>5*SUM('Madcow Program'!M25:M28)</f>
        <v>4300</v>
      </c>
      <c r="N17" s="80">
        <f>5*SUM('Madcow Program'!N25:N28)</f>
        <v>4350</v>
      </c>
      <c r="O17" s="80">
        <f>5*SUM('Madcow Program'!O25:O28)</f>
        <v>4475</v>
      </c>
      <c r="P17" s="81">
        <f>5*SUM('Madcow Program'!P25:P28)</f>
        <v>4625</v>
      </c>
    </row>
    <row r="18" spans="2:16" ht="12">
      <c r="B18" s="110"/>
      <c r="C18" s="111" t="s">
        <v>12</v>
      </c>
      <c r="D18" s="72" t="s">
        <v>41</v>
      </c>
      <c r="E18" s="73">
        <f>IF('Madcow Program'!E29&gt;=OHPTON*E37,5*'Madcow Program'!E29,0)+IF('Madcow Program'!E30&gt;=OHPTON*E37,5*'Madcow Program'!E30,0)+IF('Madcow Program'!E31&gt;=OHPTON*E37,5*'Madcow Program'!E31,0)+IF('Madcow Program'!E32&gt;=OHPTON*E37,5*'Madcow Program'!E32,0)</f>
        <v>1650</v>
      </c>
      <c r="F18" s="73">
        <f>IF('Madcow Program'!F29&gt;=OHPTON*F37,5*'Madcow Program'!F29,0)+IF('Madcow Program'!F30&gt;=OHPTON*F37,5*'Madcow Program'!F30,0)+IF('Madcow Program'!F31&gt;=OHPTON*F37,5*'Madcow Program'!F31,0)+IF('Madcow Program'!F32&gt;=OHPTON*F37,5*'Madcow Program'!F32,0)</f>
        <v>1725</v>
      </c>
      <c r="G18" s="73">
        <f>IF('Madcow Program'!G29&gt;=OHPTON*G37,5*'Madcow Program'!G29,0)+IF('Madcow Program'!G30&gt;=OHPTON*G37,5*'Madcow Program'!G30,0)+IF('Madcow Program'!G31&gt;=OHPTON*G37,5*'Madcow Program'!G31,0)+IF('Madcow Program'!G32&gt;=OHPTON*G37,5*'Madcow Program'!G32,0)</f>
        <v>1725</v>
      </c>
      <c r="H18" s="73">
        <f>IF('Madcow Program'!H29&gt;=OHPTON*H37,5*'Madcow Program'!H29,0)+IF('Madcow Program'!H30&gt;=OHPTON*H37,5*'Madcow Program'!H30,0)+IF('Madcow Program'!H31&gt;=OHPTON*H37,5*'Madcow Program'!H31,0)+IF('Madcow Program'!H32&gt;=OHPTON*H37,5*'Madcow Program'!H32,0)</f>
        <v>1775</v>
      </c>
      <c r="I18" s="73">
        <f>IF('Madcow Program'!I29&gt;=OHPTON*I37,5*'Madcow Program'!I29,0)+IF('Madcow Program'!I30&gt;=OHPTON*I37,5*'Madcow Program'!I30,0)+IF('Madcow Program'!I31&gt;=OHPTON*I37,5*'Madcow Program'!I31,0)+IF('Madcow Program'!I32&gt;=OHPTON*I37,5*'Madcow Program'!I32,0)</f>
        <v>1850</v>
      </c>
      <c r="J18" s="73">
        <f>IF('Madcow Program'!J29&gt;=OHPTON*J37,5*'Madcow Program'!J29,0)+IF('Madcow Program'!J30&gt;=OHPTON*J37,5*'Madcow Program'!J30,0)+IF('Madcow Program'!J31&gt;=OHPTON*J37,5*'Madcow Program'!J31,0)+IF('Madcow Program'!J32&gt;=OHPTON*J37,5*'Madcow Program'!J32,0)</f>
        <v>1850</v>
      </c>
      <c r="K18" s="73">
        <f>IF('Madcow Program'!K29&gt;=OHPTON*K37,5*'Madcow Program'!K29,0)+IF('Madcow Program'!K30&gt;=OHPTON*K37,5*'Madcow Program'!K30,0)+IF('Madcow Program'!K31&gt;=OHPTON*K37,5*'Madcow Program'!K31,0)+IF('Madcow Program'!K32&gt;=OHPTON*K37,5*'Madcow Program'!K32,0)</f>
        <v>1900</v>
      </c>
      <c r="L18" s="73">
        <f>IF('Madcow Program'!L29&gt;=OHPTON*L37,5*'Madcow Program'!L29,0)+IF('Madcow Program'!L30&gt;=OHPTON*L37,5*'Madcow Program'!L30,0)+IF('Madcow Program'!L31&gt;=OHPTON*L37,5*'Madcow Program'!L31,0)+IF('Madcow Program'!L32&gt;=OHPTON*L37,5*'Madcow Program'!L32,0)</f>
        <v>1975</v>
      </c>
      <c r="M18" s="73">
        <f>IF('Madcow Program'!M29&gt;=OHPTON*M37,5*'Madcow Program'!M29,0)+IF('Madcow Program'!M30&gt;=OHPTON*M37,5*'Madcow Program'!M30,0)+IF('Madcow Program'!M31&gt;=OHPTON*M37,5*'Madcow Program'!M31,0)+IF('Madcow Program'!M32&gt;=OHPTON*M37,5*'Madcow Program'!M32,0)</f>
        <v>1975</v>
      </c>
      <c r="N18" s="73">
        <f>IF('Madcow Program'!N29&gt;=OHPTON*N37,5*'Madcow Program'!N29,0)+IF('Madcow Program'!N30&gt;=OHPTON*N37,5*'Madcow Program'!N30,0)+IF('Madcow Program'!N31&gt;=OHPTON*N37,5*'Madcow Program'!N31,0)+IF('Madcow Program'!N32&gt;=OHPTON*N37,5*'Madcow Program'!N32,0)</f>
        <v>2025</v>
      </c>
      <c r="O18" s="73">
        <f>IF('Madcow Program'!O29&gt;=OHPTON*O37,5*'Madcow Program'!O29,0)+IF('Madcow Program'!O30&gt;=OHPTON*O37,5*'Madcow Program'!O30,0)+IF('Madcow Program'!O31&gt;=OHPTON*O37,5*'Madcow Program'!O31,0)+IF('Madcow Program'!O32&gt;=OHPTON*O37,5*'Madcow Program'!O32,0)</f>
        <v>2100</v>
      </c>
      <c r="P18" s="82">
        <f>IF('Madcow Program'!P29&gt;=OHPTON*P37,5*'Madcow Program'!P29,0)+IF('Madcow Program'!P30&gt;=OHPTON*P37,5*'Madcow Program'!P30,0)+IF('Madcow Program'!P31&gt;=OHPTON*P37,5*'Madcow Program'!P31,0)+IF('Madcow Program'!P32&gt;=OHPTON*P37,5*'Madcow Program'!P32,0)</f>
        <v>2175</v>
      </c>
    </row>
    <row r="19" spans="2:16" ht="12">
      <c r="B19" s="110"/>
      <c r="C19" s="111"/>
      <c r="D19" s="75" t="s">
        <v>42</v>
      </c>
      <c r="E19" s="76">
        <f>5*SUM('Madcow Program'!E29:E32)</f>
        <v>2050</v>
      </c>
      <c r="F19" s="76">
        <f>5*SUM('Madcow Program'!F29:F32)</f>
        <v>2125</v>
      </c>
      <c r="G19" s="76">
        <f>5*SUM('Madcow Program'!G29:G32)</f>
        <v>2125</v>
      </c>
      <c r="H19" s="76">
        <f>5*SUM('Madcow Program'!H29:H32)</f>
        <v>2200</v>
      </c>
      <c r="I19" s="76">
        <f>5*SUM('Madcow Program'!I29:I32)</f>
        <v>2300</v>
      </c>
      <c r="J19" s="76">
        <f>5*SUM('Madcow Program'!J29:J32)</f>
        <v>2300</v>
      </c>
      <c r="K19" s="76">
        <f>5*SUM('Madcow Program'!K29:K32)</f>
        <v>2350</v>
      </c>
      <c r="L19" s="76">
        <f>5*SUM('Madcow Program'!L29:L32)</f>
        <v>2450</v>
      </c>
      <c r="M19" s="76">
        <f>5*SUM('Madcow Program'!M29:M32)</f>
        <v>2450</v>
      </c>
      <c r="N19" s="76">
        <f>5*SUM('Madcow Program'!N29:N32)</f>
        <v>2500</v>
      </c>
      <c r="O19" s="76">
        <f>5*SUM('Madcow Program'!O29:O32)</f>
        <v>2600</v>
      </c>
      <c r="P19" s="77">
        <f>5*SUM('Madcow Program'!P29:P32)</f>
        <v>2700</v>
      </c>
    </row>
    <row r="20" spans="2:16" ht="12">
      <c r="B20" s="110"/>
      <c r="C20" s="109" t="s">
        <v>13</v>
      </c>
      <c r="D20" s="72" t="s">
        <v>41</v>
      </c>
      <c r="E20" s="78">
        <f>IF('Madcow Program'!E33&gt;=DLTON*E40,5*'Madcow Program'!E33,0)+IF('Madcow Program'!E34&gt;=DLTON*E40,5*'Madcow Program'!E34,0)+IF('Madcow Program'!E35&gt;=DLTON*E40,5*'Madcow Program'!E35,0)+IF('Madcow Program'!E36&gt;=DLTON*E40,5*'Madcow Program'!E36,0)</f>
        <v>4275</v>
      </c>
      <c r="F20" s="78">
        <f>IF('Madcow Program'!F33&gt;=DLTON*F40,5*'Madcow Program'!F33,0)+IF('Madcow Program'!F34&gt;=DLTON*F40,5*'Madcow Program'!F34,0)+IF('Madcow Program'!F35&gt;=DLTON*F40,5*'Madcow Program'!F35,0)+IF('Madcow Program'!F36&gt;=DLTON*F40,5*'Madcow Program'!F36,0)</f>
        <v>4400</v>
      </c>
      <c r="G20" s="78">
        <f>IF('Madcow Program'!G33&gt;=DLTON*G40,5*'Madcow Program'!G33,0)+IF('Madcow Program'!G34&gt;=DLTON*G40,5*'Madcow Program'!G34,0)+IF('Madcow Program'!G35&gt;=DLTON*G40,5*'Madcow Program'!G35,0)+IF('Madcow Program'!G36&gt;=DLTON*G40,5*'Madcow Program'!G36,0)</f>
        <v>4475</v>
      </c>
      <c r="H20" s="78">
        <f>IF('Madcow Program'!H33&gt;=DLTON*H40,5*'Madcow Program'!H33,0)+IF('Madcow Program'!H34&gt;=DLTON*H40,5*'Madcow Program'!H34,0)+IF('Madcow Program'!H35&gt;=DLTON*H40,5*'Madcow Program'!H35,0)+IF('Madcow Program'!H36&gt;=DLTON*H40,5*'Madcow Program'!H36,0)</f>
        <v>4600</v>
      </c>
      <c r="I20" s="78">
        <f>IF('Madcow Program'!I33&gt;=DLTON*I40,5*'Madcow Program'!I33,0)+IF('Madcow Program'!I34&gt;=DLTON*I40,5*'Madcow Program'!I34,0)+IF('Madcow Program'!I35&gt;=DLTON*I40,5*'Madcow Program'!I35,0)+IF('Madcow Program'!I36&gt;=DLTON*I40,5*'Madcow Program'!I36,0)</f>
        <v>4725</v>
      </c>
      <c r="J20" s="78">
        <f>IF('Madcow Program'!J33&gt;=DLTON*J40,5*'Madcow Program'!J33,0)+IF('Madcow Program'!J34&gt;=DLTON*J40,5*'Madcow Program'!J34,0)+IF('Madcow Program'!J35&gt;=DLTON*J40,5*'Madcow Program'!J35,0)+IF('Madcow Program'!J36&gt;=DLTON*J40,5*'Madcow Program'!J36,0)</f>
        <v>4875</v>
      </c>
      <c r="K20" s="78">
        <f>IF('Madcow Program'!K33&gt;=DLTON*K40,5*'Madcow Program'!K33,0)+IF('Madcow Program'!K34&gt;=DLTON*K40,5*'Madcow Program'!K34,0)+IF('Madcow Program'!K35&gt;=DLTON*K40,5*'Madcow Program'!K35,0)+IF('Madcow Program'!K36&gt;=DLTON*K40,5*'Madcow Program'!K36,0)</f>
        <v>4925</v>
      </c>
      <c r="L20" s="78">
        <f>IF('Madcow Program'!L33&gt;=DLTON*L40,5*'Madcow Program'!L33,0)+IF('Madcow Program'!L34&gt;=DLTON*L40,5*'Madcow Program'!L34,0)+IF('Madcow Program'!L35&gt;=DLTON*L40,5*'Madcow Program'!L35,0)+IF('Madcow Program'!L36&gt;=DLTON*L40,5*'Madcow Program'!L36,0)</f>
        <v>5050</v>
      </c>
      <c r="M20" s="78">
        <f>IF('Madcow Program'!M33&gt;=DLTON*M40,5*'Madcow Program'!M33,0)+IF('Madcow Program'!M34&gt;=DLTON*M40,5*'Madcow Program'!M34,0)+IF('Madcow Program'!M35&gt;=DLTON*M40,5*'Madcow Program'!M35,0)+IF('Madcow Program'!M36&gt;=DLTON*M40,5*'Madcow Program'!M36,0)</f>
        <v>5175</v>
      </c>
      <c r="N20" s="78">
        <f>IF('Madcow Program'!N33&gt;=DLTON*N40,5*'Madcow Program'!N33,0)+IF('Madcow Program'!N34&gt;=DLTON*N40,5*'Madcow Program'!N34,0)+IF('Madcow Program'!N35&gt;=DLTON*N40,5*'Madcow Program'!N35,0)+IF('Madcow Program'!N36&gt;=DLTON*N40,5*'Madcow Program'!N36,0)</f>
        <v>5325</v>
      </c>
      <c r="O20" s="78">
        <f>IF('Madcow Program'!O33&gt;=DLTON*O40,5*'Madcow Program'!O33,0)+IF('Madcow Program'!O34&gt;=DLTON*O40,5*'Madcow Program'!O34,0)+IF('Madcow Program'!O35&gt;=DLTON*O40,5*'Madcow Program'!O35,0)+IF('Madcow Program'!O36&gt;=DLTON*O40,5*'Madcow Program'!O36,0)</f>
        <v>5450</v>
      </c>
      <c r="P20" s="79">
        <f>IF('Madcow Program'!P33&gt;=DLTON*P40,5*'Madcow Program'!P33,0)+IF('Madcow Program'!P34&gt;=DLTON*P40,5*'Madcow Program'!P34,0)+IF('Madcow Program'!P35&gt;=DLTON*P40,5*'Madcow Program'!P35,0)+IF('Madcow Program'!P36&gt;=DLTON*P40,5*'Madcow Program'!P36,0)</f>
        <v>5575</v>
      </c>
    </row>
    <row r="21" spans="2:16" ht="12">
      <c r="B21" s="110"/>
      <c r="C21" s="109"/>
      <c r="D21" s="83" t="s">
        <v>42</v>
      </c>
      <c r="E21" s="86">
        <f>5*SUM('Madcow Program'!E33:E36)</f>
        <v>5300</v>
      </c>
      <c r="F21" s="86">
        <f>5*SUM('Madcow Program'!F33:F36)</f>
        <v>5450</v>
      </c>
      <c r="G21" s="86">
        <f>5*SUM('Madcow Program'!G33:G36)</f>
        <v>5550</v>
      </c>
      <c r="H21" s="86">
        <f>5*SUM('Madcow Program'!H33:H36)</f>
        <v>5700</v>
      </c>
      <c r="I21" s="86">
        <f>5*SUM('Madcow Program'!I33:I36)</f>
        <v>5850</v>
      </c>
      <c r="J21" s="86">
        <f>5*SUM('Madcow Program'!J33:J36)</f>
        <v>6025</v>
      </c>
      <c r="K21" s="86">
        <f>5*SUM('Madcow Program'!K33:K36)</f>
        <v>6100</v>
      </c>
      <c r="L21" s="86">
        <f>5*SUM('Madcow Program'!L33:L36)</f>
        <v>6250</v>
      </c>
      <c r="M21" s="86">
        <f>5*SUM('Madcow Program'!M33:M36)</f>
        <v>6400</v>
      </c>
      <c r="N21" s="86">
        <f>5*SUM('Madcow Program'!N33:N36)</f>
        <v>6600</v>
      </c>
      <c r="O21" s="86">
        <f>5*SUM('Madcow Program'!O33:O36)</f>
        <v>6750</v>
      </c>
      <c r="P21" s="87">
        <f>5*SUM('Madcow Program'!P33:P36)</f>
        <v>6900</v>
      </c>
    </row>
    <row r="22" spans="2:16" ht="12">
      <c r="B22" s="110" t="s">
        <v>39</v>
      </c>
      <c r="C22" s="111" t="s">
        <v>9</v>
      </c>
      <c r="D22" s="72" t="s">
        <v>41</v>
      </c>
      <c r="E22" s="73">
        <f>IF('Madcow Program'!E37&gt;=SQTON*E28,5*'Madcow Program'!E37,0)+IF('Madcow Program'!E38&gt;=SQTON*E28,5*'Madcow Program'!E38,0)+IF('Madcow Program'!E39&gt;=SQTON*E28,5*'Madcow Program'!E39,0)+IF('Madcow Program'!E40&gt;=SQTON*E28,5*'Madcow Program'!E40,0)+IF('Madcow Program'!E41&gt;=SQTON*E28,3*'Madcow Program'!E41,0)+IF('Madcow Program'!E42&gt;=SQTON*E28,8*'Madcow Program'!E42,0)</f>
        <v>4560</v>
      </c>
      <c r="F22" s="73">
        <f>IF('Madcow Program'!F37&gt;=SQTON*F28,5*'Madcow Program'!F37,0)+IF('Madcow Program'!F38&gt;=SQTON*F28,5*'Madcow Program'!F38,0)+IF('Madcow Program'!F39&gt;=SQTON*F28,5*'Madcow Program'!F39,0)+IF('Madcow Program'!F40&gt;=SQTON*F28,5*'Madcow Program'!F40,0)+IF('Madcow Program'!F41&gt;=SQTON*F28,3*'Madcow Program'!F41,0)+IF('Madcow Program'!F42&gt;=SQTON*F28,8*'Madcow Program'!F42,0)</f>
        <v>4680</v>
      </c>
      <c r="G22" s="73">
        <f>IF('Madcow Program'!G37&gt;=SQTON*G28,5*'Madcow Program'!G37,0)+IF('Madcow Program'!G38&gt;=SQTON*G28,5*'Madcow Program'!G38,0)+IF('Madcow Program'!G39&gt;=SQTON*G28,5*'Madcow Program'!G39,0)+IF('Madcow Program'!G40&gt;=SQTON*G28,5*'Madcow Program'!G40,0)+IF('Madcow Program'!G41&gt;=SQTON*G28,3*'Madcow Program'!G41,0)+IF('Madcow Program'!G42&gt;=SQTON*G28,8*'Madcow Program'!G42,0)</f>
        <v>4810</v>
      </c>
      <c r="H22" s="73">
        <f>IF('Madcow Program'!H37&gt;=SQTON*H28,5*'Madcow Program'!H37,0)+IF('Madcow Program'!H38&gt;=SQTON*H28,5*'Madcow Program'!H38,0)+IF('Madcow Program'!H39&gt;=SQTON*H28,5*'Madcow Program'!H39,0)+IF('Madcow Program'!H40&gt;=SQTON*H28,5*'Madcow Program'!H40,0)+IF('Madcow Program'!H41&gt;=SQTON*H28,3*'Madcow Program'!H41,0)+IF('Madcow Program'!H42&gt;=SQTON*H28,8*'Madcow Program'!H42,0)</f>
        <v>4930</v>
      </c>
      <c r="I22" s="73">
        <f>IF('Madcow Program'!I37&gt;=SQTON*I28,5*'Madcow Program'!I37,0)+IF('Madcow Program'!I38&gt;=SQTON*I28,5*'Madcow Program'!I38,0)+IF('Madcow Program'!I39&gt;=SQTON*I28,5*'Madcow Program'!I39,0)+IF('Madcow Program'!I40&gt;=SQTON*I28,5*'Madcow Program'!I40,0)+IF('Madcow Program'!I41&gt;=SQTON*I28,3*'Madcow Program'!I41,0)+IF('Madcow Program'!I42&gt;=SQTON*I28,8*'Madcow Program'!I42,0)</f>
        <v>5060</v>
      </c>
      <c r="J22" s="73">
        <f>IF('Madcow Program'!J37&gt;=SQTON*J28,5*'Madcow Program'!J37,0)+IF('Madcow Program'!J38&gt;=SQTON*J28,5*'Madcow Program'!J38,0)+IF('Madcow Program'!J39&gt;=SQTON*J28,5*'Madcow Program'!J39,0)+IF('Madcow Program'!J40&gt;=SQTON*J28,5*'Madcow Program'!J40,0)+IF('Madcow Program'!J41&gt;=SQTON*J28,3*'Madcow Program'!J41,0)+IF('Madcow Program'!J42&gt;=SQTON*J28,8*'Madcow Program'!J42,0)</f>
        <v>5165</v>
      </c>
      <c r="K22" s="73">
        <f>IF('Madcow Program'!K37&gt;=SQTON*K28,5*'Madcow Program'!K37,0)+IF('Madcow Program'!K38&gt;=SQTON*K28,5*'Madcow Program'!K38,0)+IF('Madcow Program'!K39&gt;=SQTON*K28,5*'Madcow Program'!K39,0)+IF('Madcow Program'!K40&gt;=SQTON*K28,5*'Madcow Program'!K40,0)+IF('Madcow Program'!K41&gt;=SQTON*K28,3*'Madcow Program'!K41,0)+IF('Madcow Program'!K42&gt;=SQTON*K28,8*'Madcow Program'!K42,0)</f>
        <v>5260</v>
      </c>
      <c r="L22" s="73">
        <f>IF('Madcow Program'!L37&gt;=SQTON*L28,5*'Madcow Program'!L37,0)+IF('Madcow Program'!L38&gt;=SQTON*L28,5*'Madcow Program'!L38,0)+IF('Madcow Program'!L39&gt;=SQTON*L28,5*'Madcow Program'!L39,0)+IF('Madcow Program'!L40&gt;=SQTON*L28,5*'Madcow Program'!L40,0)+IF('Madcow Program'!L41&gt;=SQTON*L28,3*'Madcow Program'!L41,0)+IF('Madcow Program'!L42&gt;=SQTON*L28,8*'Madcow Program'!L42,0)</f>
        <v>5405</v>
      </c>
      <c r="M22" s="73">
        <f>IF('Madcow Program'!M37&gt;=SQTON*M28,5*'Madcow Program'!M37,0)+IF('Madcow Program'!M38&gt;=SQTON*M28,5*'Madcow Program'!M38,0)+IF('Madcow Program'!M39&gt;=SQTON*M28,5*'Madcow Program'!M39,0)+IF('Madcow Program'!M40&gt;=SQTON*M28,5*'Madcow Program'!M40,0)+IF('Madcow Program'!M41&gt;=SQTON*M28,3*'Madcow Program'!M41,0)+IF('Madcow Program'!M42&gt;=SQTON*M28,8*'Madcow Program'!M42,0)</f>
        <v>5600</v>
      </c>
      <c r="N22" s="73">
        <f>IF('Madcow Program'!N37&gt;=SQTON*N28,5*'Madcow Program'!N37,0)+IF('Madcow Program'!N38&gt;=SQTON*N28,5*'Madcow Program'!N38,0)+IF('Madcow Program'!N39&gt;=SQTON*N28,5*'Madcow Program'!N39,0)+IF('Madcow Program'!N40&gt;=SQTON*N28,5*'Madcow Program'!N40,0)+IF('Madcow Program'!N41&gt;=SQTON*N28,3*'Madcow Program'!N41,0)+IF('Madcow Program'!N42&gt;=SQTON*N28,8*'Madcow Program'!N42,0)</f>
        <v>5720</v>
      </c>
      <c r="O22" s="73">
        <f>IF('Madcow Program'!O37&gt;=SQTON*O28,5*'Madcow Program'!O37,0)+IF('Madcow Program'!O38&gt;=SQTON*O28,5*'Madcow Program'!O38,0)+IF('Madcow Program'!O39&gt;=SQTON*O28,5*'Madcow Program'!O39,0)+IF('Madcow Program'!O40&gt;=SQTON*O28,5*'Madcow Program'!O40,0)+IF('Madcow Program'!O41&gt;=SQTON*O28,3*'Madcow Program'!O41,0)+IF('Madcow Program'!O42&gt;=SQTON*O28,8*'Madcow Program'!O42,0)</f>
        <v>5865</v>
      </c>
      <c r="P22" s="82">
        <f>IF('Madcow Program'!P37&gt;=SQTON*P28,5*'Madcow Program'!P37,0)+IF('Madcow Program'!P38&gt;=SQTON*P28,5*'Madcow Program'!P38,0)+IF('Madcow Program'!P39&gt;=SQTON*P28,5*'Madcow Program'!P39,0)+IF('Madcow Program'!P40&gt;=SQTON*P28,5*'Madcow Program'!P40,0)+IF('Madcow Program'!P41&gt;=SQTON*P28,3*'Madcow Program'!P41,0)+IF('Madcow Program'!P42&gt;=SQTON*P28,8*'Madcow Program'!P42,0)</f>
        <v>6035</v>
      </c>
    </row>
    <row r="23" spans="2:16" ht="12">
      <c r="B23" s="110"/>
      <c r="C23" s="111"/>
      <c r="D23" s="75" t="s">
        <v>42</v>
      </c>
      <c r="E23" s="76">
        <f>5*SUM('Madcow Program'!E37:E40)+3*'Madcow Program'!E41+8*'Madcow Program'!E42</f>
        <v>6060</v>
      </c>
      <c r="F23" s="76">
        <f>5*SUM('Madcow Program'!F37:F40)+3*'Madcow Program'!F41+8*'Madcow Program'!F42</f>
        <v>6205</v>
      </c>
      <c r="G23" s="76">
        <f>5*SUM('Madcow Program'!G37:G40)+3*'Madcow Program'!G41+8*'Madcow Program'!G42</f>
        <v>6385</v>
      </c>
      <c r="H23" s="76">
        <f>5*SUM('Madcow Program'!H37:H40)+3*'Madcow Program'!H41+8*'Madcow Program'!H42</f>
        <v>6555</v>
      </c>
      <c r="I23" s="76">
        <f>5*SUM('Madcow Program'!I37:I40)+3*'Madcow Program'!I41+8*'Madcow Program'!I42</f>
        <v>6735</v>
      </c>
      <c r="J23" s="76">
        <f>5*SUM('Madcow Program'!J37:J40)+3*'Madcow Program'!J41+8*'Madcow Program'!J42</f>
        <v>6865</v>
      </c>
      <c r="K23" s="76">
        <f>5*SUM('Madcow Program'!K37:K40)+3*'Madcow Program'!K41+8*'Madcow Program'!K42</f>
        <v>6985</v>
      </c>
      <c r="L23" s="76">
        <f>5*SUM('Madcow Program'!L37:L40)+3*'Madcow Program'!L41+8*'Madcow Program'!L42</f>
        <v>7180</v>
      </c>
      <c r="M23" s="76">
        <f>5*SUM('Madcow Program'!M37:M40)+3*'Madcow Program'!M41+8*'Madcow Program'!M42</f>
        <v>7450</v>
      </c>
      <c r="N23" s="76">
        <f>5*SUM('Madcow Program'!N37:N40)+3*'Madcow Program'!N41+8*'Madcow Program'!N42</f>
        <v>7570</v>
      </c>
      <c r="O23" s="76">
        <f>5*SUM('Madcow Program'!O37:O40)+3*'Madcow Program'!O41+8*'Madcow Program'!O42</f>
        <v>7790</v>
      </c>
      <c r="P23" s="77">
        <f>5*SUM('Madcow Program'!P37:P40)+3*'Madcow Program'!P41+8*'Madcow Program'!P42</f>
        <v>8010</v>
      </c>
    </row>
    <row r="24" spans="2:16" ht="12">
      <c r="B24" s="110"/>
      <c r="C24" s="111" t="s">
        <v>10</v>
      </c>
      <c r="D24" s="72" t="s">
        <v>41</v>
      </c>
      <c r="E24" s="78">
        <f>IF('Madcow Program'!E43&gt;=BPTON*E31,5*'Madcow Program'!E43,0)+IF('Madcow Program'!E44&gt;=BPTON*E31,5*'Madcow Program'!E44,0)+IF('Madcow Program'!E45&gt;=BPTON*E31,5*'Madcow Program'!E45,0)+IF('Madcow Program'!E46&gt;=BPTON*E31,5*'Madcow Program'!E46,0)+IF('Madcow Program'!E47&gt;=BPTON*E31,3*'Madcow Program'!E47,0)+IF('Madcow Program'!E48&gt;=BPTON*E31,8*'Madcow Program'!E48,0)</f>
        <v>3190</v>
      </c>
      <c r="F24" s="78">
        <f>IF('Madcow Program'!F43&gt;=BPTON*F31,5*'Madcow Program'!F43,0)+IF('Madcow Program'!F44&gt;=BPTON*F31,5*'Madcow Program'!F44,0)+IF('Madcow Program'!F45&gt;=BPTON*F31,5*'Madcow Program'!F45,0)+IF('Madcow Program'!F46&gt;=BPTON*F31,5*'Madcow Program'!F46,0)+IF('Madcow Program'!F47&gt;=BPTON*F31,3*'Madcow Program'!F47,0)+IF('Madcow Program'!F48&gt;=BPTON*F31,8*'Madcow Program'!F48,0)</f>
        <v>3295</v>
      </c>
      <c r="G24" s="78">
        <f>IF('Madcow Program'!G43&gt;=BPTON*G31,5*'Madcow Program'!G43,0)+IF('Madcow Program'!G44&gt;=BPTON*G31,5*'Madcow Program'!G44,0)+IF('Madcow Program'!G45&gt;=BPTON*G31,5*'Madcow Program'!G45,0)+IF('Madcow Program'!G46&gt;=BPTON*G31,5*'Madcow Program'!G46,0)+IF('Madcow Program'!G47&gt;=BPTON*G31,3*'Madcow Program'!G47,0)+IF('Madcow Program'!G48&gt;=BPTON*G31,8*'Madcow Program'!G48,0)</f>
        <v>3335</v>
      </c>
      <c r="H24" s="78">
        <f>IF('Madcow Program'!H43&gt;=BPTON*H31,5*'Madcow Program'!H43,0)+IF('Madcow Program'!H44&gt;=BPTON*H31,5*'Madcow Program'!H44,0)+IF('Madcow Program'!H45&gt;=BPTON*H31,5*'Madcow Program'!H45,0)+IF('Madcow Program'!H46&gt;=BPTON*H31,5*'Madcow Program'!H46,0)+IF('Madcow Program'!H47&gt;=BPTON*H31,3*'Madcow Program'!H47,0)+IF('Madcow Program'!H48&gt;=BPTON*H31,8*'Madcow Program'!H48,0)</f>
        <v>3440</v>
      </c>
      <c r="I24" s="78">
        <f>IF('Madcow Program'!I43&gt;=BPTON*I31,5*'Madcow Program'!I43,0)+IF('Madcow Program'!I44&gt;=BPTON*I31,5*'Madcow Program'!I44,0)+IF('Madcow Program'!I45&gt;=BPTON*I31,5*'Madcow Program'!I45,0)+IF('Madcow Program'!I46&gt;=BPTON*I31,5*'Madcow Program'!I46,0)+IF('Madcow Program'!I47&gt;=BPTON*I31,3*'Madcow Program'!I47,0)+IF('Madcow Program'!I48&gt;=BPTON*I31,8*'Madcow Program'!I48,0)</f>
        <v>3545</v>
      </c>
      <c r="J24" s="78">
        <f>IF('Madcow Program'!J43&gt;=BPTON*J31,5*'Madcow Program'!J43,0)+IF('Madcow Program'!J44&gt;=BPTON*J31,5*'Madcow Program'!J44,0)+IF('Madcow Program'!J45&gt;=BPTON*J31,5*'Madcow Program'!J45,0)+IF('Madcow Program'!J46&gt;=BPTON*J31,5*'Madcow Program'!J46,0)+IF('Madcow Program'!J47&gt;=BPTON*J31,3*'Madcow Program'!J47,0)+IF('Madcow Program'!J48&gt;=BPTON*J31,8*'Madcow Program'!J48,0)</f>
        <v>3650</v>
      </c>
      <c r="K24" s="78">
        <f>IF('Madcow Program'!K43&gt;=BPTON*K31,5*'Madcow Program'!K43,0)+IF('Madcow Program'!K44&gt;=BPTON*K31,5*'Madcow Program'!K44,0)+IF('Madcow Program'!K45&gt;=BPTON*K31,5*'Madcow Program'!K45,0)+IF('Madcow Program'!K46&gt;=BPTON*K31,5*'Madcow Program'!K46,0)+IF('Madcow Program'!K47&gt;=BPTON*K31,3*'Madcow Program'!K47,0)+IF('Madcow Program'!K48&gt;=BPTON*K31,8*'Madcow Program'!K48,0)</f>
        <v>3690</v>
      </c>
      <c r="L24" s="78">
        <f>IF('Madcow Program'!L43&gt;=BPTON*L31,5*'Madcow Program'!L43,0)+IF('Madcow Program'!L44&gt;=BPTON*L31,5*'Madcow Program'!L44,0)+IF('Madcow Program'!L45&gt;=BPTON*L31,5*'Madcow Program'!L45,0)+IF('Madcow Program'!L46&gt;=BPTON*L31,5*'Madcow Program'!L46,0)+IF('Madcow Program'!L47&gt;=BPTON*L31,3*'Madcow Program'!L47,0)+IF('Madcow Program'!L48&gt;=BPTON*L31,8*'Madcow Program'!L48,0)</f>
        <v>3795</v>
      </c>
      <c r="M24" s="78">
        <f>IF('Madcow Program'!M43&gt;=BPTON*M31,5*'Madcow Program'!M43,0)+IF('Madcow Program'!M44&gt;=BPTON*M31,5*'Madcow Program'!M44,0)+IF('Madcow Program'!M45&gt;=BPTON*M31,5*'Madcow Program'!M45,0)+IF('Madcow Program'!M46&gt;=BPTON*M31,5*'Madcow Program'!M46,0)+IF('Madcow Program'!M47&gt;=BPTON*M31,3*'Madcow Program'!M47,0)+IF('Madcow Program'!M48&gt;=BPTON*M31,8*'Madcow Program'!M48,0)</f>
        <v>3875</v>
      </c>
      <c r="N24" s="78">
        <f>IF('Madcow Program'!N43&gt;=BPTON*N31,5*'Madcow Program'!N43,0)+IF('Madcow Program'!N44&gt;=BPTON*N31,5*'Madcow Program'!N44,0)+IF('Madcow Program'!N45&gt;=BPTON*N31,5*'Madcow Program'!N45,0)+IF('Madcow Program'!N46&gt;=BPTON*N31,5*'Madcow Program'!N46,0)+IF('Madcow Program'!N47&gt;=BPTON*N31,3*'Madcow Program'!N47,0)+IF('Madcow Program'!N48&gt;=BPTON*N31,8*'Madcow Program'!N48,0)</f>
        <v>3980</v>
      </c>
      <c r="O24" s="78">
        <f>IF('Madcow Program'!O43&gt;=BPTON*O31,5*'Madcow Program'!O43,0)+IF('Madcow Program'!O44&gt;=BPTON*O31,5*'Madcow Program'!O44,0)+IF('Madcow Program'!O45&gt;=BPTON*O31,5*'Madcow Program'!O45,0)+IF('Madcow Program'!O46&gt;=BPTON*O31,5*'Madcow Program'!O46,0)+IF('Madcow Program'!O47&gt;=BPTON*O31,3*'Madcow Program'!O47,0)+IF('Madcow Program'!O48&gt;=BPTON*O31,8*'Madcow Program'!O48,0)</f>
        <v>4035</v>
      </c>
      <c r="P24" s="79">
        <f>IF('Madcow Program'!P43&gt;=BPTON*P31,5*'Madcow Program'!P43,0)+IF('Madcow Program'!P44&gt;=BPTON*P31,5*'Madcow Program'!P44,0)+IF('Madcow Program'!P45&gt;=BPTON*P31,5*'Madcow Program'!P45,0)+IF('Madcow Program'!P46&gt;=BPTON*P31,5*'Madcow Program'!P46,0)+IF('Madcow Program'!P47&gt;=BPTON*P31,3*'Madcow Program'!P47,0)+IF('Madcow Program'!P48&gt;=BPTON*P31,8*'Madcow Program'!P48,0)</f>
        <v>4230</v>
      </c>
    </row>
    <row r="25" spans="2:16" ht="12">
      <c r="B25" s="110"/>
      <c r="C25" s="111"/>
      <c r="D25" s="75" t="s">
        <v>42</v>
      </c>
      <c r="E25" s="80">
        <f>5*SUM('Madcow Program'!E43:E46)+3*'Madcow Program'!E47+8*'Madcow Program'!E48</f>
        <v>4240</v>
      </c>
      <c r="F25" s="80">
        <f>5*SUM('Madcow Program'!F43:F46)+3*'Madcow Program'!F47+8*'Madcow Program'!F48</f>
        <v>4370</v>
      </c>
      <c r="G25" s="80">
        <f>5*SUM('Madcow Program'!G43:G46)+3*'Madcow Program'!G47+8*'Madcow Program'!G48</f>
        <v>4435</v>
      </c>
      <c r="H25" s="80">
        <f>5*SUM('Madcow Program'!H43:H46)+3*'Madcow Program'!H47+8*'Madcow Program'!H48</f>
        <v>4565</v>
      </c>
      <c r="I25" s="80">
        <f>5*SUM('Madcow Program'!I43:I46)+3*'Madcow Program'!I47+8*'Madcow Program'!I48</f>
        <v>4720</v>
      </c>
      <c r="J25" s="80">
        <f>5*SUM('Madcow Program'!J43:J46)+3*'Madcow Program'!J47+8*'Madcow Program'!J48</f>
        <v>4825</v>
      </c>
      <c r="K25" s="80">
        <f>5*SUM('Madcow Program'!K43:K46)+3*'Madcow Program'!K47+8*'Madcow Program'!K48</f>
        <v>4915</v>
      </c>
      <c r="L25" s="80">
        <f>5*SUM('Madcow Program'!L43:L46)+3*'Madcow Program'!L47+8*'Madcow Program'!L48</f>
        <v>5045</v>
      </c>
      <c r="M25" s="80">
        <f>5*SUM('Madcow Program'!M43:M46)+3*'Madcow Program'!M47+8*'Madcow Program'!M48</f>
        <v>5150</v>
      </c>
      <c r="N25" s="80">
        <f>5*SUM('Madcow Program'!N43:N46)+3*'Madcow Program'!N47+8*'Madcow Program'!N48</f>
        <v>5280</v>
      </c>
      <c r="O25" s="80">
        <f>5*SUM('Madcow Program'!O43:O46)+3*'Madcow Program'!O47+8*'Madcow Program'!O48</f>
        <v>5360</v>
      </c>
      <c r="P25" s="81">
        <f>5*SUM('Madcow Program'!P43:P46)+3*'Madcow Program'!P47+8*'Madcow Program'!P48</f>
        <v>5630</v>
      </c>
    </row>
    <row r="26" spans="2:16" ht="12">
      <c r="B26" s="110"/>
      <c r="C26" s="109" t="s">
        <v>11</v>
      </c>
      <c r="D26" s="72" t="s">
        <v>41</v>
      </c>
      <c r="E26" s="73">
        <f>IF('Madcow Program'!E49&gt;=BBRTON*E34,5*'Madcow Program'!E49,0)+IF('Madcow Program'!E50&gt;=BBRTON*E34,5*'Madcow Program'!E50,0)+IF('Madcow Program'!E51&gt;=BBRTON*E34,5*'Madcow Program'!E51,0)+IF('Madcow Program'!E52&gt;=BBRTON*E34,5*'Madcow Program'!E52,0)+IF('Madcow Program'!E53&gt;=BBRTON*E34,3*'Madcow Program'!E53,0)+IF('Madcow Program'!E54&gt;=BBRTON*E34,8*'Madcow Program'!E54,0)</f>
        <v>2965</v>
      </c>
      <c r="F26" s="73">
        <f>IF('Madcow Program'!F49&gt;=BBRTON*F34,5*'Madcow Program'!F49,0)+IF('Madcow Program'!F50&gt;=BBRTON*F34,5*'Madcow Program'!F50,0)+IF('Madcow Program'!F51&gt;=BBRTON*F34,5*'Madcow Program'!F51,0)+IF('Madcow Program'!F52&gt;=BBRTON*F34,5*'Madcow Program'!F52,0)+IF('Madcow Program'!F53&gt;=BBRTON*F34,3*'Madcow Program'!F53,0)+IF('Madcow Program'!F54&gt;=BBRTON*F34,8*'Madcow Program'!F54,0)</f>
        <v>3005</v>
      </c>
      <c r="G26" s="73">
        <f>IF('Madcow Program'!G49&gt;=BBRTON*G34,5*'Madcow Program'!G49,0)+IF('Madcow Program'!G50&gt;=BBRTON*G34,5*'Madcow Program'!G50,0)+IF('Madcow Program'!G51&gt;=BBRTON*G34,5*'Madcow Program'!G51,0)+IF('Madcow Program'!G52&gt;=BBRTON*G34,5*'Madcow Program'!G52,0)+IF('Madcow Program'!G53&gt;=BBRTON*G34,3*'Madcow Program'!G53,0)+IF('Madcow Program'!G54&gt;=BBRTON*G34,8*'Madcow Program'!G54,0)</f>
        <v>3110</v>
      </c>
      <c r="H26" s="73">
        <f>IF('Madcow Program'!H49&gt;=BBRTON*H34,5*'Madcow Program'!H49,0)+IF('Madcow Program'!H50&gt;=BBRTON*H34,5*'Madcow Program'!H50,0)+IF('Madcow Program'!H51&gt;=BBRTON*H34,5*'Madcow Program'!H51,0)+IF('Madcow Program'!H52&gt;=BBRTON*H34,5*'Madcow Program'!H52,0)+IF('Madcow Program'!H53&gt;=BBRTON*H34,3*'Madcow Program'!H53,0)+IF('Madcow Program'!H54&gt;=BBRTON*H34,8*'Madcow Program'!H54,0)</f>
        <v>3190</v>
      </c>
      <c r="I26" s="73">
        <f>IF('Madcow Program'!I49&gt;=BBRTON*I34,5*'Madcow Program'!I49,0)+IF('Madcow Program'!I50&gt;=BBRTON*I34,5*'Madcow Program'!I50,0)+IF('Madcow Program'!I51&gt;=BBRTON*I34,5*'Madcow Program'!I51,0)+IF('Madcow Program'!I52&gt;=BBRTON*I34,5*'Madcow Program'!I52,0)+IF('Madcow Program'!I53&gt;=BBRTON*I34,3*'Madcow Program'!I53,0)+IF('Madcow Program'!I54&gt;=BBRTON*I34,8*'Madcow Program'!I54,0)</f>
        <v>3280</v>
      </c>
      <c r="J26" s="73">
        <f>IF('Madcow Program'!J49&gt;=BBRTON*J34,5*'Madcow Program'!J49,0)+IF('Madcow Program'!J50&gt;=BBRTON*J34,5*'Madcow Program'!J50,0)+IF('Madcow Program'!J51&gt;=BBRTON*J34,5*'Madcow Program'!J51,0)+IF('Madcow Program'!J52&gt;=BBRTON*J34,5*'Madcow Program'!J52,0)+IF('Madcow Program'!J53&gt;=BBRTON*J34,3*'Madcow Program'!J53,0)+IF('Madcow Program'!J54&gt;=BBRTON*J34,8*'Madcow Program'!J54,0)</f>
        <v>3295</v>
      </c>
      <c r="K26" s="73">
        <f>IF('Madcow Program'!K49&gt;=BBRTON*K34,5*'Madcow Program'!K49,0)+IF('Madcow Program'!K50&gt;=BBRTON*K34,5*'Madcow Program'!K50,0)+IF('Madcow Program'!K51&gt;=BBRTON*K34,5*'Madcow Program'!K51,0)+IF('Madcow Program'!K52&gt;=BBRTON*K34,5*'Madcow Program'!K52,0)+IF('Madcow Program'!K53&gt;=BBRTON*K34,3*'Madcow Program'!K53,0)+IF('Madcow Program'!K54&gt;=BBRTON*K34,8*'Madcow Program'!K54,0)</f>
        <v>3335</v>
      </c>
      <c r="L26" s="73">
        <f>IF('Madcow Program'!L49&gt;=BBRTON*L34,5*'Madcow Program'!L49,0)+IF('Madcow Program'!L50&gt;=BBRTON*L34,5*'Madcow Program'!L50,0)+IF('Madcow Program'!L51&gt;=BBRTON*L34,5*'Madcow Program'!L51,0)+IF('Madcow Program'!L52&gt;=BBRTON*L34,5*'Madcow Program'!L52,0)+IF('Madcow Program'!L53&gt;=BBRTON*L34,3*'Madcow Program'!L53,0)+IF('Madcow Program'!L54&gt;=BBRTON*L34,8*'Madcow Program'!L54,0)</f>
        <v>3440</v>
      </c>
      <c r="M26" s="73">
        <f>IF('Madcow Program'!M49&gt;=BBRTON*M34,5*'Madcow Program'!M49,0)+IF('Madcow Program'!M50&gt;=BBRTON*M34,5*'Madcow Program'!M50,0)+IF('Madcow Program'!M51&gt;=BBRTON*M34,5*'Madcow Program'!M51,0)+IF('Madcow Program'!M52&gt;=BBRTON*M34,5*'Madcow Program'!M52,0)+IF('Madcow Program'!M53&gt;=BBRTON*M34,3*'Madcow Program'!M53,0)+IF('Madcow Program'!M54&gt;=BBRTON*M34,8*'Madcow Program'!M54,0)</f>
        <v>3545</v>
      </c>
      <c r="N26" s="73">
        <f>IF('Madcow Program'!N49&gt;=BBRTON*N34,5*'Madcow Program'!N49,0)+IF('Madcow Program'!N50&gt;=BBRTON*N34,5*'Madcow Program'!N50,0)+IF('Madcow Program'!N51&gt;=BBRTON*N34,5*'Madcow Program'!N51,0)+IF('Madcow Program'!N52&gt;=BBRTON*N34,5*'Madcow Program'!N52,0)+IF('Madcow Program'!N53&gt;=BBRTON*N34,3*'Madcow Program'!N53,0)+IF('Madcow Program'!N54&gt;=BBRTON*N34,8*'Madcow Program'!N54,0)</f>
        <v>3665</v>
      </c>
      <c r="O26" s="73">
        <f>IF('Madcow Program'!O49&gt;=BBRTON*O34,5*'Madcow Program'!O49,0)+IF('Madcow Program'!O50&gt;=BBRTON*O34,5*'Madcow Program'!O50,0)+IF('Madcow Program'!O51&gt;=BBRTON*O34,5*'Madcow Program'!O51,0)+IF('Madcow Program'!O52&gt;=BBRTON*O34,5*'Madcow Program'!O52,0)+IF('Madcow Program'!O53&gt;=BBRTON*O34,3*'Madcow Program'!O53,0)+IF('Madcow Program'!O54&gt;=BBRTON*O34,8*'Madcow Program'!O54,0)</f>
        <v>3795</v>
      </c>
      <c r="P26" s="82">
        <f>IF('Madcow Program'!P49&gt;=BBRTON*P34,5*'Madcow Program'!P49,0)+IF('Madcow Program'!P50&gt;=BBRTON*P34,5*'Madcow Program'!P50,0)+IF('Madcow Program'!P51&gt;=BBRTON*P34,5*'Madcow Program'!P51,0)+IF('Madcow Program'!P52&gt;=BBRTON*P34,5*'Madcow Program'!P52,0)+IF('Madcow Program'!P53&gt;=BBRTON*P34,3*'Madcow Program'!P53,0)+IF('Madcow Program'!P54&gt;=BBRTON*P34,8*'Madcow Program'!P54,0)</f>
        <v>3875</v>
      </c>
    </row>
    <row r="27" spans="2:16" ht="12">
      <c r="B27" s="110"/>
      <c r="C27" s="109"/>
      <c r="D27" s="83" t="s">
        <v>42</v>
      </c>
      <c r="E27" s="84">
        <f>5*SUM('Madcow Program'!E49:E52)+3*'Madcow Program'!E53+8*'Madcow Program'!E54</f>
        <v>3915</v>
      </c>
      <c r="F27" s="84">
        <f>5*SUM('Madcow Program'!F49:F52)+3*'Madcow Program'!F53+8*'Madcow Program'!F54</f>
        <v>4005</v>
      </c>
      <c r="G27" s="84">
        <f>5*SUM('Madcow Program'!G49:G52)+3*'Madcow Program'!G53+8*'Madcow Program'!G54</f>
        <v>4135</v>
      </c>
      <c r="H27" s="84">
        <f>5*SUM('Madcow Program'!H49:H52)+3*'Madcow Program'!H53+8*'Madcow Program'!H54</f>
        <v>4240</v>
      </c>
      <c r="I27" s="84">
        <f>5*SUM('Madcow Program'!I49:I52)+3*'Madcow Program'!I53+8*'Madcow Program'!I54</f>
        <v>4355</v>
      </c>
      <c r="J27" s="84">
        <f>5*SUM('Madcow Program'!J49:J52)+3*'Madcow Program'!J53+8*'Madcow Program'!J54</f>
        <v>4370</v>
      </c>
      <c r="K27" s="84">
        <f>5*SUM('Madcow Program'!K49:K52)+3*'Madcow Program'!K53+8*'Madcow Program'!K54</f>
        <v>4435</v>
      </c>
      <c r="L27" s="84">
        <f>5*SUM('Madcow Program'!L49:L52)+3*'Madcow Program'!L53+8*'Madcow Program'!L54</f>
        <v>4565</v>
      </c>
      <c r="M27" s="84">
        <f>5*SUM('Madcow Program'!M49:M52)+3*'Madcow Program'!M53+8*'Madcow Program'!M54</f>
        <v>4720</v>
      </c>
      <c r="N27" s="84">
        <f>5*SUM('Madcow Program'!N49:N52)+3*'Madcow Program'!N53+8*'Madcow Program'!N54</f>
        <v>4840</v>
      </c>
      <c r="O27" s="84">
        <f>5*SUM('Madcow Program'!O49:O52)+3*'Madcow Program'!O53+8*'Madcow Program'!O54</f>
        <v>5045</v>
      </c>
      <c r="P27" s="85">
        <f>5*SUM('Madcow Program'!P49:P52)+3*'Madcow Program'!P53+8*'Madcow Program'!P54</f>
        <v>5150</v>
      </c>
    </row>
    <row r="28" spans="2:16" ht="12">
      <c r="B28" s="88"/>
      <c r="C28" s="107" t="s">
        <v>9</v>
      </c>
      <c r="D28" s="89" t="s">
        <v>6</v>
      </c>
      <c r="E28" s="90">
        <f>MAX(SQMAX,'Madcow Program'!E14/(1.0278-(0.0278*5)))</f>
        <v>320.6570657065706</v>
      </c>
      <c r="F28" s="90">
        <f>MAX(SQMAX,'Madcow Program'!F14/(1.0278-(0.0278*5)))</f>
        <v>320.6570657065706</v>
      </c>
      <c r="G28" s="90">
        <f>MAX(SQMAX,'Madcow Program'!G14/(1.0278-(0.0278*5)))</f>
        <v>320.6570657065706</v>
      </c>
      <c r="H28" s="90">
        <f>MAX(SQMAX,'Madcow Program'!H14/(1.0278-(0.0278*5)))</f>
        <v>320.6570657065706</v>
      </c>
      <c r="I28" s="90">
        <f>MAX(SQMAX,'Madcow Program'!I14/(1.0278-(0.0278*5)))</f>
        <v>331.9081908190819</v>
      </c>
      <c r="J28" s="90">
        <f>MAX(SQMAX,'Madcow Program'!J14/(1.0278-(0.0278*5)))</f>
        <v>337.53375337533754</v>
      </c>
      <c r="K28" s="90">
        <f>MAX(SQMAX,'Madcow Program'!K14/(1.0278-(0.0278*5)))</f>
        <v>343.15931593159314</v>
      </c>
      <c r="L28" s="90">
        <f>MAX(SQMAX,'Madcow Program'!L14/(1.0278-(0.0278*5)))</f>
        <v>354.4104410441044</v>
      </c>
      <c r="M28" s="90">
        <f>MAX(SQMAX,'Madcow Program'!M14/(1.0278-(0.0278*5)))</f>
        <v>365.66156615661566</v>
      </c>
      <c r="N28" s="90">
        <f>MAX(SQMAX,'Madcow Program'!N14/(1.0278-(0.0278*5)))</f>
        <v>371.28712871287127</v>
      </c>
      <c r="O28" s="90">
        <f>MAX(SQMAX,'Madcow Program'!O14/(1.0278-(0.0278*5)))</f>
        <v>382.5382538253825</v>
      </c>
      <c r="P28" s="91">
        <f>MAX(SQMAX,'Madcow Program'!P14/(1.0278-(0.0278*5)))</f>
        <v>393.7893789378938</v>
      </c>
    </row>
    <row r="29" spans="2:16" ht="12.75" customHeight="1">
      <c r="B29" s="112" t="s">
        <v>43</v>
      </c>
      <c r="C29" s="107"/>
      <c r="D29" s="72" t="s">
        <v>41</v>
      </c>
      <c r="E29" s="78">
        <f aca="true" t="shared" si="0" ref="E29:P29">E10+E16+E22</f>
        <v>10035</v>
      </c>
      <c r="F29" s="78">
        <f t="shared" si="0"/>
        <v>10280</v>
      </c>
      <c r="G29" s="78">
        <f t="shared" si="0"/>
        <v>10585</v>
      </c>
      <c r="H29" s="78">
        <f t="shared" si="0"/>
        <v>10830</v>
      </c>
      <c r="I29" s="78">
        <f t="shared" si="0"/>
        <v>11135</v>
      </c>
      <c r="J29" s="78">
        <f t="shared" si="0"/>
        <v>11365</v>
      </c>
      <c r="K29" s="78">
        <f t="shared" si="0"/>
        <v>11560</v>
      </c>
      <c r="L29" s="78">
        <f t="shared" si="0"/>
        <v>11880</v>
      </c>
      <c r="M29" s="78">
        <f t="shared" si="0"/>
        <v>12325</v>
      </c>
      <c r="N29" s="78">
        <f t="shared" si="0"/>
        <v>12570</v>
      </c>
      <c r="O29" s="78">
        <f t="shared" si="0"/>
        <v>12890</v>
      </c>
      <c r="P29" s="79">
        <f t="shared" si="0"/>
        <v>13285</v>
      </c>
    </row>
    <row r="30" spans="2:16" ht="12">
      <c r="B30" s="112"/>
      <c r="C30" s="107"/>
      <c r="D30" s="75" t="s">
        <v>42</v>
      </c>
      <c r="E30" s="80">
        <f aca="true" t="shared" si="1" ref="E30:P30">E11+E17+E23</f>
        <v>14535</v>
      </c>
      <c r="F30" s="80">
        <f t="shared" si="1"/>
        <v>14855</v>
      </c>
      <c r="G30" s="80">
        <f t="shared" si="1"/>
        <v>15310</v>
      </c>
      <c r="H30" s="80">
        <f t="shared" si="1"/>
        <v>15705</v>
      </c>
      <c r="I30" s="80">
        <f t="shared" si="1"/>
        <v>16160</v>
      </c>
      <c r="J30" s="80">
        <f t="shared" si="1"/>
        <v>16465</v>
      </c>
      <c r="K30" s="80">
        <f t="shared" si="1"/>
        <v>16735</v>
      </c>
      <c r="L30" s="80">
        <f t="shared" si="1"/>
        <v>17205</v>
      </c>
      <c r="M30" s="80">
        <f t="shared" si="1"/>
        <v>17875</v>
      </c>
      <c r="N30" s="80">
        <f t="shared" si="1"/>
        <v>18120</v>
      </c>
      <c r="O30" s="80">
        <f t="shared" si="1"/>
        <v>18665</v>
      </c>
      <c r="P30" s="81">
        <f t="shared" si="1"/>
        <v>19210</v>
      </c>
    </row>
    <row r="31" spans="2:16" ht="12">
      <c r="B31" s="112"/>
      <c r="C31" s="108" t="s">
        <v>10</v>
      </c>
      <c r="D31" s="92" t="s">
        <v>6</v>
      </c>
      <c r="E31" s="93">
        <f>MAX(BPMAX,'Madcow Program'!E19/(1.0278-(0.0278*5)))</f>
        <v>225.02250225022502</v>
      </c>
      <c r="F31" s="93">
        <f>MAX(BPMAX,'Madcow Program'!F19/(1.0278-(0.0278*5)))</f>
        <v>225.02250225022502</v>
      </c>
      <c r="G31" s="93">
        <f>MAX(BPMAX,'Madcow Program'!G19/(1.0278-(0.0278*5)))</f>
        <v>225.02250225022502</v>
      </c>
      <c r="H31" s="93">
        <f>MAX(BPMAX,'Madcow Program'!H19/(1.0278-(0.0278*5)))</f>
        <v>225.02250225022502</v>
      </c>
      <c r="I31" s="93">
        <f>MAX(BPMAX,'Madcow Program'!I19/(1.0278-(0.0278*5)))</f>
        <v>230.64806480648065</v>
      </c>
      <c r="J31" s="93">
        <f>MAX(BPMAX,'Madcow Program'!J19/(1.0278-(0.0278*5)))</f>
        <v>236.27362736273628</v>
      </c>
      <c r="K31" s="93">
        <f>MAX(BPMAX,'Madcow Program'!K19/(1.0278-(0.0278*5)))</f>
        <v>241.89918991899188</v>
      </c>
      <c r="L31" s="93">
        <f>MAX(BPMAX,'Madcow Program'!L19/(1.0278-(0.0278*5)))</f>
        <v>247.5247524752475</v>
      </c>
      <c r="M31" s="93">
        <f>MAX(BPMAX,'Madcow Program'!M19/(1.0278-(0.0278*5)))</f>
        <v>253.15031503150314</v>
      </c>
      <c r="N31" s="93">
        <f>MAX(BPMAX,'Madcow Program'!N19/(1.0278-(0.0278*5)))</f>
        <v>258.77587758775877</v>
      </c>
      <c r="O31" s="93">
        <f>MAX(BPMAX,'Madcow Program'!O19/(1.0278-(0.0278*5)))</f>
        <v>264.4014401440144</v>
      </c>
      <c r="P31" s="94">
        <f>MAX(BPMAX,'Madcow Program'!P19/(1.0278-(0.0278*5)))</f>
        <v>275.65256525652563</v>
      </c>
    </row>
    <row r="32" spans="2:16" ht="12">
      <c r="B32" s="112"/>
      <c r="C32" s="108"/>
      <c r="D32" s="72" t="s">
        <v>41</v>
      </c>
      <c r="E32" s="73">
        <f aca="true" t="shared" si="2" ref="E32:P32">E12+E24</f>
        <v>5615</v>
      </c>
      <c r="F32" s="73">
        <f t="shared" si="2"/>
        <v>5795</v>
      </c>
      <c r="G32" s="73">
        <f t="shared" si="2"/>
        <v>5885</v>
      </c>
      <c r="H32" s="73">
        <f t="shared" si="2"/>
        <v>6065</v>
      </c>
      <c r="I32" s="73">
        <f t="shared" si="2"/>
        <v>6245</v>
      </c>
      <c r="J32" s="73">
        <f t="shared" si="2"/>
        <v>6425</v>
      </c>
      <c r="K32" s="73">
        <f t="shared" si="2"/>
        <v>6515</v>
      </c>
      <c r="L32" s="73">
        <f t="shared" si="2"/>
        <v>6695</v>
      </c>
      <c r="M32" s="73">
        <f t="shared" si="2"/>
        <v>6825</v>
      </c>
      <c r="N32" s="73">
        <f t="shared" si="2"/>
        <v>7005</v>
      </c>
      <c r="O32" s="73">
        <f t="shared" si="2"/>
        <v>7110</v>
      </c>
      <c r="P32" s="82">
        <f t="shared" si="2"/>
        <v>7455</v>
      </c>
    </row>
    <row r="33" spans="2:16" ht="12">
      <c r="B33" s="112"/>
      <c r="C33" s="108"/>
      <c r="D33" s="75" t="s">
        <v>42</v>
      </c>
      <c r="E33" s="76">
        <f aca="true" t="shared" si="3" ref="E33:P33">E13+E25</f>
        <v>7715</v>
      </c>
      <c r="F33" s="76">
        <f t="shared" si="3"/>
        <v>7945</v>
      </c>
      <c r="G33" s="76">
        <f t="shared" si="3"/>
        <v>8085</v>
      </c>
      <c r="H33" s="76">
        <f t="shared" si="3"/>
        <v>8315</v>
      </c>
      <c r="I33" s="76">
        <f t="shared" si="3"/>
        <v>8595</v>
      </c>
      <c r="J33" s="76">
        <f t="shared" si="3"/>
        <v>8775</v>
      </c>
      <c r="K33" s="76">
        <f t="shared" si="3"/>
        <v>8965</v>
      </c>
      <c r="L33" s="76">
        <f t="shared" si="3"/>
        <v>9195</v>
      </c>
      <c r="M33" s="76">
        <f t="shared" si="3"/>
        <v>9375</v>
      </c>
      <c r="N33" s="76">
        <f t="shared" si="3"/>
        <v>9605</v>
      </c>
      <c r="O33" s="76">
        <f t="shared" si="3"/>
        <v>9760</v>
      </c>
      <c r="P33" s="77">
        <f t="shared" si="3"/>
        <v>10255</v>
      </c>
    </row>
    <row r="34" spans="2:16" ht="12">
      <c r="B34" s="112"/>
      <c r="C34" s="108" t="s">
        <v>11</v>
      </c>
      <c r="D34" s="92" t="s">
        <v>6</v>
      </c>
      <c r="E34" s="95">
        <f>MAX(BBRMAX,'Madcow Program'!E24/(1.0278-(0.0278*5)))</f>
        <v>208.14581458145813</v>
      </c>
      <c r="F34" s="95">
        <f>MAX(BBRMAX,'Madcow Program'!F24/(1.0278-(0.0278*5)))</f>
        <v>208.14581458145813</v>
      </c>
      <c r="G34" s="95">
        <f>MAX(BBRMAX,'Madcow Program'!G24/(1.0278-(0.0278*5)))</f>
        <v>208.14581458145813</v>
      </c>
      <c r="H34" s="95">
        <f>MAX(BBRMAX,'Madcow Program'!H24/(1.0278-(0.0278*5)))</f>
        <v>208.14581458145813</v>
      </c>
      <c r="I34" s="95">
        <f>MAX(BBRMAX,'Madcow Program'!I24/(1.0278-(0.0278*5)))</f>
        <v>213.77137713771376</v>
      </c>
      <c r="J34" s="95">
        <f>MAX(BBRMAX,'Madcow Program'!J24/(1.0278-(0.0278*5)))</f>
        <v>213.77137713771376</v>
      </c>
      <c r="K34" s="95">
        <f>MAX(BBRMAX,'Madcow Program'!K24/(1.0278-(0.0278*5)))</f>
        <v>219.3969396939694</v>
      </c>
      <c r="L34" s="95">
        <f>MAX(BBRMAX,'Madcow Program'!L24/(1.0278-(0.0278*5)))</f>
        <v>225.02250225022502</v>
      </c>
      <c r="M34" s="95">
        <f>MAX(BBRMAX,'Madcow Program'!M24/(1.0278-(0.0278*5)))</f>
        <v>230.64806480648065</v>
      </c>
      <c r="N34" s="95">
        <f>MAX(BBRMAX,'Madcow Program'!N24/(1.0278-(0.0278*5)))</f>
        <v>236.27362736273628</v>
      </c>
      <c r="O34" s="95">
        <f>MAX(BBRMAX,'Madcow Program'!O24/(1.0278-(0.0278*5)))</f>
        <v>247.5247524752475</v>
      </c>
      <c r="P34" s="96">
        <f>MAX(BBRMAX,'Madcow Program'!P24/(1.0278-(0.0278*5)))</f>
        <v>253.15031503150314</v>
      </c>
    </row>
    <row r="35" spans="2:16" ht="12">
      <c r="B35" s="112"/>
      <c r="C35" s="108"/>
      <c r="D35" s="72" t="s">
        <v>41</v>
      </c>
      <c r="E35" s="78">
        <f aca="true" t="shared" si="4" ref="E35:P35">E14+E26</f>
        <v>5215</v>
      </c>
      <c r="F35" s="78">
        <f t="shared" si="4"/>
        <v>5305</v>
      </c>
      <c r="G35" s="78">
        <f t="shared" si="4"/>
        <v>5485</v>
      </c>
      <c r="H35" s="78">
        <f t="shared" si="4"/>
        <v>5615</v>
      </c>
      <c r="I35" s="78">
        <f t="shared" si="4"/>
        <v>5780</v>
      </c>
      <c r="J35" s="78">
        <f t="shared" si="4"/>
        <v>5795</v>
      </c>
      <c r="K35" s="78">
        <f t="shared" si="4"/>
        <v>5885</v>
      </c>
      <c r="L35" s="78">
        <f t="shared" si="4"/>
        <v>6065</v>
      </c>
      <c r="M35" s="78">
        <f t="shared" si="4"/>
        <v>6245</v>
      </c>
      <c r="N35" s="78">
        <f t="shared" si="4"/>
        <v>6440</v>
      </c>
      <c r="O35" s="78">
        <f t="shared" si="4"/>
        <v>6695</v>
      </c>
      <c r="P35" s="79">
        <f t="shared" si="4"/>
        <v>6825</v>
      </c>
    </row>
    <row r="36" spans="2:16" ht="12">
      <c r="B36" s="112"/>
      <c r="C36" s="108"/>
      <c r="D36" s="75" t="s">
        <v>42</v>
      </c>
      <c r="E36" s="80">
        <f aca="true" t="shared" si="5" ref="E36:P36">E15+E27</f>
        <v>7115</v>
      </c>
      <c r="F36" s="80">
        <f t="shared" si="5"/>
        <v>7305</v>
      </c>
      <c r="G36" s="80">
        <f t="shared" si="5"/>
        <v>7535</v>
      </c>
      <c r="H36" s="80">
        <f t="shared" si="5"/>
        <v>7715</v>
      </c>
      <c r="I36" s="80">
        <f t="shared" si="5"/>
        <v>7930</v>
      </c>
      <c r="J36" s="80">
        <f t="shared" si="5"/>
        <v>7945</v>
      </c>
      <c r="K36" s="80">
        <f t="shared" si="5"/>
        <v>8085</v>
      </c>
      <c r="L36" s="80">
        <f t="shared" si="5"/>
        <v>8315</v>
      </c>
      <c r="M36" s="80">
        <f t="shared" si="5"/>
        <v>8595</v>
      </c>
      <c r="N36" s="80">
        <f t="shared" si="5"/>
        <v>8790</v>
      </c>
      <c r="O36" s="80">
        <f t="shared" si="5"/>
        <v>9195</v>
      </c>
      <c r="P36" s="81">
        <f t="shared" si="5"/>
        <v>9375</v>
      </c>
    </row>
    <row r="37" spans="2:16" ht="12">
      <c r="B37" s="112"/>
      <c r="C37" s="108" t="s">
        <v>12</v>
      </c>
      <c r="D37" s="92" t="s">
        <v>6</v>
      </c>
      <c r="E37" s="93">
        <f>MAX(OHPMAX,'Madcow Program'!E32/(1.0278-(0.0278*5)))</f>
        <v>151.89018901890188</v>
      </c>
      <c r="F37" s="93">
        <f>MAX(OHPMAX,'Madcow Program'!F32/(1.0278-(0.0278*5)))</f>
        <v>151.89018901890188</v>
      </c>
      <c r="G37" s="93">
        <f>MAX(OHPMAX,'Madcow Program'!G32/(1.0278-(0.0278*5)))</f>
        <v>151.89018901890188</v>
      </c>
      <c r="H37" s="93">
        <f>MAX(OHPMAX,'Madcow Program'!H32/(1.0278-(0.0278*5)))</f>
        <v>151.89018901890188</v>
      </c>
      <c r="I37" s="93">
        <f>MAX(OHPMAX,'Madcow Program'!I32/(1.0278-(0.0278*5)))</f>
        <v>157.5157515751575</v>
      </c>
      <c r="J37" s="93">
        <f>MAX(OHPMAX,'Madcow Program'!J32/(1.0278-(0.0278*5)))</f>
        <v>157.5157515751575</v>
      </c>
      <c r="K37" s="93">
        <f>MAX(OHPMAX,'Madcow Program'!K32/(1.0278-(0.0278*5)))</f>
        <v>163.14131413141314</v>
      </c>
      <c r="L37" s="93">
        <f>MAX(OHPMAX,'Madcow Program'!L32/(1.0278-(0.0278*5)))</f>
        <v>168.76687668766877</v>
      </c>
      <c r="M37" s="93">
        <f>MAX(OHPMAX,'Madcow Program'!M32/(1.0278-(0.0278*5)))</f>
        <v>168.76687668766877</v>
      </c>
      <c r="N37" s="93">
        <f>MAX(OHPMAX,'Madcow Program'!N32/(1.0278-(0.0278*5)))</f>
        <v>174.39243924392437</v>
      </c>
      <c r="O37" s="93">
        <f>MAX(OHPMAX,'Madcow Program'!O32/(1.0278-(0.0278*5)))</f>
        <v>180.01800180018</v>
      </c>
      <c r="P37" s="94">
        <f>MAX(OHPMAX,'Madcow Program'!P32/(1.0278-(0.0278*5)))</f>
        <v>185.64356435643563</v>
      </c>
    </row>
    <row r="38" spans="2:16" ht="12">
      <c r="B38" s="112"/>
      <c r="C38" s="108"/>
      <c r="D38" s="72" t="s">
        <v>41</v>
      </c>
      <c r="E38" s="73">
        <f aca="true" t="shared" si="6" ref="E38:P38">E18</f>
        <v>1650</v>
      </c>
      <c r="F38" s="73">
        <f t="shared" si="6"/>
        <v>1725</v>
      </c>
      <c r="G38" s="73">
        <f t="shared" si="6"/>
        <v>1725</v>
      </c>
      <c r="H38" s="73">
        <f t="shared" si="6"/>
        <v>1775</v>
      </c>
      <c r="I38" s="73">
        <f t="shared" si="6"/>
        <v>1850</v>
      </c>
      <c r="J38" s="73">
        <f t="shared" si="6"/>
        <v>1850</v>
      </c>
      <c r="K38" s="73">
        <f t="shared" si="6"/>
        <v>1900</v>
      </c>
      <c r="L38" s="73">
        <f t="shared" si="6"/>
        <v>1975</v>
      </c>
      <c r="M38" s="73">
        <f t="shared" si="6"/>
        <v>1975</v>
      </c>
      <c r="N38" s="73">
        <f t="shared" si="6"/>
        <v>2025</v>
      </c>
      <c r="O38" s="73">
        <f t="shared" si="6"/>
        <v>2100</v>
      </c>
      <c r="P38" s="82">
        <f t="shared" si="6"/>
        <v>2175</v>
      </c>
    </row>
    <row r="39" spans="2:16" ht="12">
      <c r="B39" s="112"/>
      <c r="C39" s="108"/>
      <c r="D39" s="75" t="s">
        <v>42</v>
      </c>
      <c r="E39" s="76">
        <f aca="true" t="shared" si="7" ref="E39:P39">E19</f>
        <v>2050</v>
      </c>
      <c r="F39" s="76">
        <f t="shared" si="7"/>
        <v>2125</v>
      </c>
      <c r="G39" s="76">
        <f t="shared" si="7"/>
        <v>2125</v>
      </c>
      <c r="H39" s="76">
        <f t="shared" si="7"/>
        <v>2200</v>
      </c>
      <c r="I39" s="76">
        <f t="shared" si="7"/>
        <v>2300</v>
      </c>
      <c r="J39" s="76">
        <f t="shared" si="7"/>
        <v>2300</v>
      </c>
      <c r="K39" s="76">
        <f t="shared" si="7"/>
        <v>2350</v>
      </c>
      <c r="L39" s="76">
        <f t="shared" si="7"/>
        <v>2450</v>
      </c>
      <c r="M39" s="76">
        <f t="shared" si="7"/>
        <v>2450</v>
      </c>
      <c r="N39" s="76">
        <f t="shared" si="7"/>
        <v>2500</v>
      </c>
      <c r="O39" s="76">
        <f t="shared" si="7"/>
        <v>2600</v>
      </c>
      <c r="P39" s="77">
        <f t="shared" si="7"/>
        <v>2700</v>
      </c>
    </row>
    <row r="40" spans="2:16" ht="12">
      <c r="B40" s="112"/>
      <c r="C40" s="113" t="s">
        <v>13</v>
      </c>
      <c r="D40" s="92" t="s">
        <v>6</v>
      </c>
      <c r="E40" s="95">
        <f>MAX(DLMAX,'Madcow Program'!E36/(1.0278-(0.0278*5)))</f>
        <v>393.7893789378938</v>
      </c>
      <c r="F40" s="95">
        <f>MAX(DLMAX,'Madcow Program'!F36/(1.0278-(0.0278*5)))</f>
        <v>393.7893789378938</v>
      </c>
      <c r="G40" s="95">
        <f>MAX(DLMAX,'Madcow Program'!G36/(1.0278-(0.0278*5)))</f>
        <v>393.7893789378938</v>
      </c>
      <c r="H40" s="95">
        <f>MAX(DLMAX,'Madcow Program'!H36/(1.0278-(0.0278*5)))</f>
        <v>393.7893789378938</v>
      </c>
      <c r="I40" s="95">
        <f>MAX(DLMAX,'Madcow Program'!I36/(1.0278-(0.0278*5)))</f>
        <v>405.04050405040505</v>
      </c>
      <c r="J40" s="95">
        <f>MAX(DLMAX,'Madcow Program'!J36/(1.0278-(0.0278*5)))</f>
        <v>416.29162916291625</v>
      </c>
      <c r="K40" s="95">
        <f>MAX(DLMAX,'Madcow Program'!K36/(1.0278-(0.0278*5)))</f>
        <v>421.9171917191719</v>
      </c>
      <c r="L40" s="95">
        <f>MAX(DLMAX,'Madcow Program'!L36/(1.0278-(0.0278*5)))</f>
        <v>433.16831683168317</v>
      </c>
      <c r="M40" s="95">
        <f>MAX(DLMAX,'Madcow Program'!M36/(1.0278-(0.0278*5)))</f>
        <v>444.4194419441944</v>
      </c>
      <c r="N40" s="95">
        <f>MAX(DLMAX,'Madcow Program'!N36/(1.0278-(0.0278*5)))</f>
        <v>455.67056705670564</v>
      </c>
      <c r="O40" s="95">
        <f>MAX(DLMAX,'Madcow Program'!O36/(1.0278-(0.0278*5)))</f>
        <v>466.9216921692169</v>
      </c>
      <c r="P40" s="96">
        <f>MAX(DLMAX,'Madcow Program'!P36/(1.0278-(0.0278*5)))</f>
        <v>478.17281728172816</v>
      </c>
    </row>
    <row r="41" spans="2:16" ht="12">
      <c r="B41" s="112"/>
      <c r="C41" s="113"/>
      <c r="D41" s="72" t="s">
        <v>41</v>
      </c>
      <c r="E41" s="78">
        <f aca="true" t="shared" si="8" ref="E41:P41">E20</f>
        <v>4275</v>
      </c>
      <c r="F41" s="78">
        <f t="shared" si="8"/>
        <v>4400</v>
      </c>
      <c r="G41" s="78">
        <f t="shared" si="8"/>
        <v>4475</v>
      </c>
      <c r="H41" s="78">
        <f t="shared" si="8"/>
        <v>4600</v>
      </c>
      <c r="I41" s="78">
        <f t="shared" si="8"/>
        <v>4725</v>
      </c>
      <c r="J41" s="78">
        <f t="shared" si="8"/>
        <v>4875</v>
      </c>
      <c r="K41" s="78">
        <f t="shared" si="8"/>
        <v>4925</v>
      </c>
      <c r="L41" s="78">
        <f t="shared" si="8"/>
        <v>5050</v>
      </c>
      <c r="M41" s="78">
        <f t="shared" si="8"/>
        <v>5175</v>
      </c>
      <c r="N41" s="78">
        <f t="shared" si="8"/>
        <v>5325</v>
      </c>
      <c r="O41" s="78">
        <f t="shared" si="8"/>
        <v>5450</v>
      </c>
      <c r="P41" s="79">
        <f t="shared" si="8"/>
        <v>5575</v>
      </c>
    </row>
    <row r="42" spans="2:16" ht="12">
      <c r="B42" s="112"/>
      <c r="C42" s="113"/>
      <c r="D42" s="72" t="s">
        <v>42</v>
      </c>
      <c r="E42" s="78">
        <f aca="true" t="shared" si="9" ref="E42:P42">E21</f>
        <v>5300</v>
      </c>
      <c r="F42" s="78">
        <f t="shared" si="9"/>
        <v>5450</v>
      </c>
      <c r="G42" s="78">
        <f t="shared" si="9"/>
        <v>5550</v>
      </c>
      <c r="H42" s="78">
        <f t="shared" si="9"/>
        <v>5700</v>
      </c>
      <c r="I42" s="78">
        <f t="shared" si="9"/>
        <v>5850</v>
      </c>
      <c r="J42" s="78">
        <f t="shared" si="9"/>
        <v>6025</v>
      </c>
      <c r="K42" s="78">
        <f t="shared" si="9"/>
        <v>6100</v>
      </c>
      <c r="L42" s="78">
        <f t="shared" si="9"/>
        <v>6250</v>
      </c>
      <c r="M42" s="78">
        <f t="shared" si="9"/>
        <v>6400</v>
      </c>
      <c r="N42" s="78">
        <f t="shared" si="9"/>
        <v>6600</v>
      </c>
      <c r="O42" s="78">
        <f t="shared" si="9"/>
        <v>6750</v>
      </c>
      <c r="P42" s="79">
        <f t="shared" si="9"/>
        <v>6900</v>
      </c>
    </row>
    <row r="43" spans="2:16" ht="12">
      <c r="B43" s="112"/>
      <c r="C43" s="114" t="s">
        <v>42</v>
      </c>
      <c r="D43" s="97" t="s">
        <v>41</v>
      </c>
      <c r="E43" s="98">
        <f aca="true" t="shared" si="10" ref="E43:P43">E29+E32+E35+E38+E41</f>
        <v>26790</v>
      </c>
      <c r="F43" s="98">
        <f t="shared" si="10"/>
        <v>27505</v>
      </c>
      <c r="G43" s="98">
        <f t="shared" si="10"/>
        <v>28155</v>
      </c>
      <c r="H43" s="98">
        <f t="shared" si="10"/>
        <v>28885</v>
      </c>
      <c r="I43" s="98">
        <f t="shared" si="10"/>
        <v>29735</v>
      </c>
      <c r="J43" s="98">
        <f t="shared" si="10"/>
        <v>30310</v>
      </c>
      <c r="K43" s="98">
        <f t="shared" si="10"/>
        <v>30785</v>
      </c>
      <c r="L43" s="98">
        <f t="shared" si="10"/>
        <v>31665</v>
      </c>
      <c r="M43" s="98">
        <f t="shared" si="10"/>
        <v>32545</v>
      </c>
      <c r="N43" s="98">
        <f t="shared" si="10"/>
        <v>33365</v>
      </c>
      <c r="O43" s="98">
        <f t="shared" si="10"/>
        <v>34245</v>
      </c>
      <c r="P43" s="99">
        <f t="shared" si="10"/>
        <v>35315</v>
      </c>
    </row>
    <row r="44" spans="2:16" ht="12">
      <c r="B44" s="112"/>
      <c r="C44" s="114"/>
      <c r="D44" s="83" t="s">
        <v>42</v>
      </c>
      <c r="E44" s="100">
        <f aca="true" t="shared" si="11" ref="E44:P44">E30+E33+E36+E39+E42</f>
        <v>36715</v>
      </c>
      <c r="F44" s="100">
        <f t="shared" si="11"/>
        <v>37680</v>
      </c>
      <c r="G44" s="100">
        <f t="shared" si="11"/>
        <v>38605</v>
      </c>
      <c r="H44" s="100">
        <f t="shared" si="11"/>
        <v>39635</v>
      </c>
      <c r="I44" s="100">
        <f t="shared" si="11"/>
        <v>40835</v>
      </c>
      <c r="J44" s="100">
        <f t="shared" si="11"/>
        <v>41510</v>
      </c>
      <c r="K44" s="100">
        <f t="shared" si="11"/>
        <v>42235</v>
      </c>
      <c r="L44" s="100">
        <f t="shared" si="11"/>
        <v>43415</v>
      </c>
      <c r="M44" s="100">
        <f t="shared" si="11"/>
        <v>44695</v>
      </c>
      <c r="N44" s="100">
        <f t="shared" si="11"/>
        <v>45615</v>
      </c>
      <c r="O44" s="100">
        <f t="shared" si="11"/>
        <v>46970</v>
      </c>
      <c r="P44" s="101">
        <f t="shared" si="11"/>
        <v>48440</v>
      </c>
    </row>
    <row r="51" ht="12">
      <c r="B51" s="25" t="s">
        <v>31</v>
      </c>
    </row>
    <row r="52" ht="12">
      <c r="B52" t="s">
        <v>32</v>
      </c>
    </row>
    <row r="54" ht="12">
      <c r="B54" s="26" t="s">
        <v>33</v>
      </c>
    </row>
  </sheetData>
  <sheetProtection selectLockedCells="1" selectUnlockedCells="1"/>
  <mergeCells count="20">
    <mergeCell ref="C43:C44"/>
    <mergeCell ref="B22:B27"/>
    <mergeCell ref="C22:C23"/>
    <mergeCell ref="C24:C25"/>
    <mergeCell ref="C26:C27"/>
    <mergeCell ref="C28:C30"/>
    <mergeCell ref="B29:B44"/>
    <mergeCell ref="C31:C33"/>
    <mergeCell ref="C34:C36"/>
    <mergeCell ref="C37:C39"/>
    <mergeCell ref="C40:C42"/>
    <mergeCell ref="E8:P8"/>
    <mergeCell ref="B10:B15"/>
    <mergeCell ref="C10:C11"/>
    <mergeCell ref="C12:C13"/>
    <mergeCell ref="C14:C15"/>
    <mergeCell ref="B16:B21"/>
    <mergeCell ref="C16:C17"/>
    <mergeCell ref="C18:C19"/>
    <mergeCell ref="C20:C21"/>
  </mergeCells>
  <hyperlinks>
    <hyperlink ref="B54" r:id="rId1" display="http://stronglifts.com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